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Sellest_töövihikust" defaultThemeVersion="124226"/>
  <mc:AlternateContent xmlns:mc="http://schemas.openxmlformats.org/markup-compatibility/2006">
    <mc:Choice Requires="x15">
      <x15ac:absPath xmlns:x15ac="http://schemas.microsoft.com/office/spreadsheetml/2010/11/ac" url="https://eegovg01-my.sharepoint.com/personal/chelly_sinivali_konkurentsiamet_ee/Documents/Dokumendid/Kirjad/"/>
    </mc:Choice>
  </mc:AlternateContent>
  <xr:revisionPtr revIDLastSave="1" documentId="8_{4FAB5230-9B2A-411C-A4E0-2CF479AE9A14}" xr6:coauthVersionLast="47" xr6:coauthVersionMax="47" xr10:uidLastSave="{90C8C95F-21F2-409A-9698-042BDF62A9A4}"/>
  <bookViews>
    <workbookView xWindow="-120" yWindow="-120" windowWidth="29040" windowHeight="17520" tabRatio="876" firstSheet="1" activeTab="10" xr2:uid="{00000000-000D-0000-FFFF-FFFF00000000}"/>
  </bookViews>
  <sheets>
    <sheet name="A. Üldandmed" sheetId="41" r:id="rId1"/>
    <sheet name="B. Algandmed" sheetId="32" r:id="rId2"/>
    <sheet name="C. Abitabel elekter" sheetId="26" r:id="rId3"/>
    <sheet name="D. Abitabel keskkonnatasud" sheetId="11" r:id="rId4"/>
    <sheet name="E. Muutuvkulud" sheetId="33" r:id="rId5"/>
    <sheet name="F. Tegevuskulud" sheetId="34" r:id="rId6"/>
    <sheet name="G. Põhivarad ja kapitalikulu" sheetId="35" r:id="rId7"/>
    <sheet name="H.Põhivarade järjepidev arvest." sheetId="42" r:id="rId8"/>
    <sheet name="I. Renditud põhivarad" sheetId="39" r:id="rId9"/>
    <sheet name="J. Põhjendatud tulukus" sheetId="22" r:id="rId10"/>
    <sheet name="K. Taotlus" sheetId="1" r:id="rId11"/>
  </sheets>
  <externalReferences>
    <externalReference r:id="rId12"/>
    <externalReference r:id="rId13"/>
  </externalReferences>
  <definedNames>
    <definedName name="_ftn1" localSheetId="5">'F. Tegevuskulud'!$A$76</definedName>
    <definedName name="_ftnref1" localSheetId="5">'F. Tegevuskulud'!$A$73</definedName>
    <definedName name="algus" localSheetId="8">[1]Macro1!#REF!</definedName>
    <definedName name="algus">[1]Macro1!#REF!</definedName>
    <definedName name="alguspunkti_rida" localSheetId="8">[1]Macro1!#REF!</definedName>
    <definedName name="alguspunkti_rida">[1]Macro1!#REF!</definedName>
    <definedName name="alguspunkti_veerg" localSheetId="8">[1]Macro1!#REF!</definedName>
    <definedName name="alguspunkti_veerg">[1]Macro1!#REF!</definedName>
    <definedName name="gaasi_tarbimine_FT_katlamajades" localSheetId="8">#REF!</definedName>
    <definedName name="gaasi_tarbimine_FT_katlamajades">#REF!</definedName>
    <definedName name="lähtefaili_nimi" localSheetId="8">[2]Macro1!#REF!</definedName>
    <definedName name="lähtefaili_nimi">[2]Macro1!#REF!</definedName>
    <definedName name="otsitav_nimetus" localSheetId="8">[2]Macro1!#REF!</definedName>
    <definedName name="otsitav_nimetus">[2]Macro1!#REF!</definedName>
    <definedName name="_xlnm.Print_Area" localSheetId="0">'A. Üldandmed'!$A$4:$C$23</definedName>
    <definedName name="puuduvate_nimetuste_loendur" localSheetId="8">[2]Macro1!#REF!</definedName>
    <definedName name="puuduvate_nimetuste_loendur">[2]Macro1!#REF!</definedName>
    <definedName name="Põlevkiviõli" localSheetId="8">#REF!</definedName>
    <definedName name="Põlevkiviõli">#REF!</definedName>
    <definedName name="sisestatav_kalendrikuu" localSheetId="8">[2]Macro1!#REF!</definedName>
    <definedName name="sisestatav_kalendrikuu">[2]Macro1!#REF!</definedName>
    <definedName name="sisestatav_kuu" localSheetId="8">[2]Macro1!#REF!</definedName>
    <definedName name="sisestatav_kuu">[2]Macro1!#REF!</definedName>
    <definedName name="sisestatava_kuu_veerg" localSheetId="8">[2]Macro1!#REF!</definedName>
    <definedName name="sisestatava_kuu_veerg">[2]Macro1!#REF!</definedName>
    <definedName name="Tarbimise_jaotus_VE_vahel" localSheetId="8">#REF!</definedName>
    <definedName name="Tarbimise_jaotus_VE_vahel">#REF!</definedName>
    <definedName name="tekst" localSheetId="8">[2]Macro1!#REF!</definedName>
    <definedName name="tekst">[2]Macro1!#REF!</definedName>
    <definedName name="tootmine_2007" localSheetId="8">#REF!</definedName>
    <definedName name="tootmine_2007">#REF!</definedName>
    <definedName name="tootmine_2007_rea_nr" localSheetId="8">[2]Macro1!#REF!</definedName>
    <definedName name="tootmine_2007_rea_nr">[2]Macro1!#REF!</definedName>
    <definedName name="uued_nimetused" localSheetId="8">[2]Macro1!#REF!</definedName>
    <definedName name="uued_nimetused">[2]Macro1!#REF!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H10" i="26"/>
  <c r="C61" i="1"/>
  <c r="G10" i="33"/>
  <c r="G11" i="33" s="1"/>
  <c r="F11" i="33"/>
  <c r="J79" i="35"/>
  <c r="I79" i="35"/>
  <c r="H40" i="35"/>
  <c r="H27" i="35"/>
  <c r="H23" i="35"/>
  <c r="D24" i="35"/>
  <c r="F27" i="35"/>
  <c r="H15" i="35"/>
  <c r="H28" i="35"/>
  <c r="H26" i="35"/>
  <c r="H25" i="35"/>
  <c r="H22" i="35"/>
  <c r="H21" i="35"/>
  <c r="H20" i="35"/>
  <c r="H19" i="35"/>
  <c r="H18" i="35"/>
  <c r="H17" i="35"/>
  <c r="H16" i="35"/>
  <c r="F17" i="35"/>
  <c r="F18" i="35"/>
  <c r="F19" i="35"/>
  <c r="F20" i="35"/>
  <c r="F21" i="35"/>
  <c r="F22" i="35"/>
  <c r="F23" i="35"/>
  <c r="F25" i="35"/>
  <c r="F26" i="35"/>
  <c r="F28" i="35"/>
  <c r="E33" i="26"/>
  <c r="G3" i="26"/>
  <c r="G5" i="26"/>
  <c r="H5" i="26"/>
  <c r="H79" i="35" l="1"/>
  <c r="I27" i="35"/>
  <c r="F24" i="35"/>
  <c r="H24" i="35"/>
  <c r="I21" i="35"/>
  <c r="I22" i="35"/>
  <c r="I23" i="35"/>
  <c r="I25" i="35"/>
  <c r="I18" i="35"/>
  <c r="I26" i="35"/>
  <c r="I17" i="35"/>
  <c r="I19" i="35"/>
  <c r="J19" i="35" s="1"/>
  <c r="I20" i="35"/>
  <c r="J20" i="35" s="1"/>
  <c r="I28" i="35"/>
  <c r="J17" i="35"/>
  <c r="J23" i="35"/>
  <c r="K20" i="35"/>
  <c r="J18" i="35"/>
  <c r="J22" i="35"/>
  <c r="E9" i="26"/>
  <c r="F9" i="26"/>
  <c r="J21" i="35" l="1"/>
  <c r="I24" i="35"/>
  <c r="J24" i="35" s="1"/>
  <c r="J27" i="35"/>
  <c r="K21" i="35"/>
  <c r="K19" i="35"/>
  <c r="J26" i="35"/>
  <c r="J25" i="35"/>
  <c r="K17" i="35"/>
  <c r="L21" i="35"/>
  <c r="J28" i="35"/>
  <c r="L20" i="35"/>
  <c r="L17" i="35"/>
  <c r="L19" i="35"/>
  <c r="K22" i="35"/>
  <c r="K23" i="35"/>
  <c r="K18" i="35"/>
  <c r="F110" i="32"/>
  <c r="F108" i="32"/>
  <c r="H145" i="32"/>
  <c r="G145" i="32"/>
  <c r="F145" i="32"/>
  <c r="M21" i="35" l="1"/>
  <c r="K25" i="35"/>
  <c r="K24" i="35"/>
  <c r="L24" i="35" s="1"/>
  <c r="K27" i="35"/>
  <c r="K26" i="35"/>
  <c r="L26" i="35" s="1"/>
  <c r="M17" i="35"/>
  <c r="M24" i="35"/>
  <c r="K28" i="35"/>
  <c r="L22" i="35"/>
  <c r="L23" i="35"/>
  <c r="L18" i="35"/>
  <c r="M18" i="35"/>
  <c r="M20" i="35"/>
  <c r="M19" i="35"/>
  <c r="D42" i="1"/>
  <c r="L25" i="35" l="1"/>
  <c r="L27" i="35"/>
  <c r="M23" i="35"/>
  <c r="M26" i="35"/>
  <c r="L28" i="35"/>
  <c r="M22" i="35"/>
  <c r="E42" i="1"/>
  <c r="M25" i="35" l="1"/>
  <c r="M27" i="35"/>
  <c r="M28" i="35"/>
  <c r="F58" i="33" l="1"/>
  <c r="G33" i="32"/>
  <c r="G42" i="32" l="1"/>
  <c r="G103" i="32"/>
  <c r="F103" i="32"/>
  <c r="F8" i="35" l="1"/>
  <c r="L79" i="35" l="1"/>
  <c r="I8" i="35"/>
  <c r="H78" i="35" l="1"/>
  <c r="I15" i="35"/>
  <c r="E32" i="26"/>
  <c r="E114" i="26" s="1"/>
  <c r="F25" i="33" l="1"/>
  <c r="F141" i="32" l="1"/>
  <c r="H103" i="32"/>
  <c r="D51" i="32"/>
  <c r="E51" i="32"/>
  <c r="A45" i="22" l="1"/>
  <c r="A43" i="22"/>
  <c r="B134" i="39"/>
  <c r="B133" i="39"/>
  <c r="G24" i="1"/>
  <c r="F24" i="1"/>
  <c r="B23" i="1"/>
  <c r="B22" i="1"/>
  <c r="B21" i="1"/>
  <c r="B20" i="1"/>
  <c r="B19" i="1"/>
  <c r="D108" i="32" l="1"/>
  <c r="A19" i="1" l="1"/>
  <c r="G93" i="26" l="1"/>
  <c r="G68" i="26"/>
  <c r="G43" i="26"/>
  <c r="G18" i="26"/>
  <c r="F18" i="1" l="1"/>
  <c r="C18" i="1"/>
  <c r="D18" i="1"/>
  <c r="E18" i="1"/>
  <c r="G18" i="1"/>
  <c r="A32" i="1" l="1"/>
  <c r="A31" i="1"/>
  <c r="A30" i="1"/>
  <c r="G45" i="1"/>
  <c r="F45" i="1"/>
  <c r="E45" i="1"/>
  <c r="D45" i="1"/>
  <c r="C45" i="1"/>
  <c r="F123" i="39" l="1"/>
  <c r="I123" i="39"/>
  <c r="L97" i="39"/>
  <c r="L99" i="39"/>
  <c r="L112" i="39"/>
  <c r="L114" i="39" s="1"/>
  <c r="L115" i="39" s="1"/>
  <c r="D112" i="39"/>
  <c r="J112" i="39"/>
  <c r="J114" i="39" s="1"/>
  <c r="E112" i="39"/>
  <c r="M111" i="39"/>
  <c r="K111" i="39"/>
  <c r="F111" i="39"/>
  <c r="M110" i="39"/>
  <c r="K110" i="39"/>
  <c r="F110" i="39"/>
  <c r="M109" i="39"/>
  <c r="K109" i="39"/>
  <c r="F109" i="39"/>
  <c r="M108" i="39"/>
  <c r="K108" i="39"/>
  <c r="F108" i="39"/>
  <c r="M107" i="39"/>
  <c r="K107" i="39"/>
  <c r="F107" i="39"/>
  <c r="M106" i="39"/>
  <c r="K106" i="39"/>
  <c r="F106" i="39"/>
  <c r="M105" i="39"/>
  <c r="K105" i="39"/>
  <c r="F105" i="39"/>
  <c r="M104" i="39"/>
  <c r="K104" i="39"/>
  <c r="F104" i="39"/>
  <c r="M103" i="39"/>
  <c r="K103" i="39"/>
  <c r="F103" i="39"/>
  <c r="M102" i="39"/>
  <c r="K102" i="39"/>
  <c r="F102" i="39"/>
  <c r="J97" i="39"/>
  <c r="J99" i="39" s="1"/>
  <c r="E97" i="39"/>
  <c r="D97" i="39"/>
  <c r="D99" i="39" s="1"/>
  <c r="M96" i="39"/>
  <c r="K96" i="39"/>
  <c r="F96" i="39"/>
  <c r="M95" i="39"/>
  <c r="K95" i="39"/>
  <c r="F95" i="39"/>
  <c r="M94" i="39"/>
  <c r="K94" i="39"/>
  <c r="F94" i="39"/>
  <c r="M93" i="39"/>
  <c r="K93" i="39"/>
  <c r="F93" i="39"/>
  <c r="M92" i="39"/>
  <c r="K92" i="39"/>
  <c r="F92" i="39"/>
  <c r="M91" i="39"/>
  <c r="K91" i="39"/>
  <c r="F91" i="39"/>
  <c r="M90" i="39"/>
  <c r="K90" i="39"/>
  <c r="F90" i="39"/>
  <c r="M89" i="39"/>
  <c r="K89" i="39"/>
  <c r="F89" i="39"/>
  <c r="M88" i="39"/>
  <c r="K88" i="39"/>
  <c r="F88" i="39"/>
  <c r="M87" i="39"/>
  <c r="K87" i="39"/>
  <c r="F87" i="39"/>
  <c r="D81" i="39"/>
  <c r="H81" i="39"/>
  <c r="F81" i="39"/>
  <c r="E81" i="39"/>
  <c r="H82" i="39"/>
  <c r="K82" i="39"/>
  <c r="M82" i="39" s="1"/>
  <c r="H35" i="39"/>
  <c r="F12" i="39"/>
  <c r="F35" i="39" s="1"/>
  <c r="E12" i="39"/>
  <c r="E35" i="39" s="1"/>
  <c r="H36" i="39" s="1"/>
  <c r="D12" i="39"/>
  <c r="D35" i="39" s="1"/>
  <c r="D37" i="39" s="1"/>
  <c r="D78" i="35"/>
  <c r="K36" i="39"/>
  <c r="M36" i="39" s="1"/>
  <c r="D17" i="22"/>
  <c r="G128" i="39" s="1"/>
  <c r="J128" i="39" s="1"/>
  <c r="I120" i="35"/>
  <c r="F120" i="35"/>
  <c r="F100" i="35"/>
  <c r="F101" i="35"/>
  <c r="F102" i="35"/>
  <c r="F103" i="35"/>
  <c r="F104" i="35"/>
  <c r="F105" i="35"/>
  <c r="F106" i="35"/>
  <c r="F107" i="35"/>
  <c r="F108" i="35"/>
  <c r="F99" i="35"/>
  <c r="F85" i="35"/>
  <c r="F86" i="35"/>
  <c r="F87" i="35"/>
  <c r="F88" i="35"/>
  <c r="F89" i="35"/>
  <c r="F90" i="35"/>
  <c r="F91" i="35"/>
  <c r="F92" i="35"/>
  <c r="F93" i="35"/>
  <c r="F84" i="35"/>
  <c r="F59" i="35"/>
  <c r="F60" i="35"/>
  <c r="F61" i="35"/>
  <c r="F62" i="35"/>
  <c r="F63" i="35"/>
  <c r="F64" i="35"/>
  <c r="F65" i="35"/>
  <c r="F66" i="35"/>
  <c r="F67" i="35"/>
  <c r="F68" i="35"/>
  <c r="F69" i="35"/>
  <c r="F70" i="35"/>
  <c r="F71" i="35"/>
  <c r="F77" i="35"/>
  <c r="F58" i="35"/>
  <c r="F56" i="35"/>
  <c r="F38" i="35"/>
  <c r="F39" i="35"/>
  <c r="F40" i="35"/>
  <c r="F41" i="35"/>
  <c r="F42" i="35"/>
  <c r="F43" i="35"/>
  <c r="F44" i="35"/>
  <c r="F45" i="35"/>
  <c r="F46" i="35"/>
  <c r="F47" i="35"/>
  <c r="F48" i="35"/>
  <c r="F49" i="35"/>
  <c r="F50" i="35"/>
  <c r="F51" i="35"/>
  <c r="F52" i="35"/>
  <c r="F53" i="35"/>
  <c r="F54" i="35"/>
  <c r="F55" i="35"/>
  <c r="F37" i="35"/>
  <c r="F16" i="35"/>
  <c r="F29" i="35"/>
  <c r="F30" i="35"/>
  <c r="F31" i="35"/>
  <c r="F15" i="35"/>
  <c r="F9" i="35"/>
  <c r="F10" i="35"/>
  <c r="F11" i="35"/>
  <c r="D109" i="35"/>
  <c r="L109" i="35"/>
  <c r="J109" i="35"/>
  <c r="J111" i="35" s="1"/>
  <c r="M102" i="35"/>
  <c r="M103" i="35"/>
  <c r="M104" i="35"/>
  <c r="M105" i="35"/>
  <c r="M106" i="35"/>
  <c r="M107" i="35"/>
  <c r="K102" i="35"/>
  <c r="K103" i="35"/>
  <c r="K104" i="35"/>
  <c r="K105" i="35"/>
  <c r="K106" i="35"/>
  <c r="K107" i="35"/>
  <c r="M91" i="35"/>
  <c r="M87" i="35"/>
  <c r="M88" i="35"/>
  <c r="M89" i="35"/>
  <c r="M90" i="35"/>
  <c r="M92" i="35"/>
  <c r="M93" i="35"/>
  <c r="K87" i="35"/>
  <c r="K88" i="35"/>
  <c r="K89" i="35"/>
  <c r="K90" i="35"/>
  <c r="K91" i="35"/>
  <c r="K92" i="35"/>
  <c r="K93" i="35"/>
  <c r="E109" i="35"/>
  <c r="L94" i="35"/>
  <c r="J94" i="35"/>
  <c r="J96" i="35" s="1"/>
  <c r="J112" i="35" s="1"/>
  <c r="E94" i="35"/>
  <c r="D94" i="35"/>
  <c r="D96" i="35" s="1"/>
  <c r="E78" i="35"/>
  <c r="H32" i="35"/>
  <c r="F38" i="11"/>
  <c r="F70" i="11"/>
  <c r="A54" i="1"/>
  <c r="A56" i="1"/>
  <c r="A55" i="1"/>
  <c r="A24" i="1"/>
  <c r="A23" i="1"/>
  <c r="A22" i="1"/>
  <c r="A21" i="1"/>
  <c r="A20" i="1"/>
  <c r="C98" i="32"/>
  <c r="C89" i="32"/>
  <c r="C79" i="32"/>
  <c r="C70" i="32"/>
  <c r="C60" i="32"/>
  <c r="C51" i="32"/>
  <c r="C41" i="32"/>
  <c r="C32" i="32"/>
  <c r="C23" i="32"/>
  <c r="C14" i="32"/>
  <c r="C125" i="32"/>
  <c r="C117" i="32"/>
  <c r="C109" i="32"/>
  <c r="C54" i="33"/>
  <c r="D18" i="11"/>
  <c r="C2" i="32"/>
  <c r="C17" i="11"/>
  <c r="C23" i="11" s="1"/>
  <c r="R48" i="42"/>
  <c r="S48" i="42"/>
  <c r="R50" i="42"/>
  <c r="S50" i="42"/>
  <c r="C47" i="11"/>
  <c r="C50" i="11" s="1"/>
  <c r="D18" i="22"/>
  <c r="H128" i="39" s="1"/>
  <c r="K128" i="39" s="1"/>
  <c r="E51" i="42"/>
  <c r="E49" i="42"/>
  <c r="F43" i="42"/>
  <c r="Q50" i="42"/>
  <c r="P50" i="42"/>
  <c r="O50" i="42"/>
  <c r="N50" i="42"/>
  <c r="M50" i="42"/>
  <c r="L50" i="42"/>
  <c r="K50" i="42"/>
  <c r="J50" i="42"/>
  <c r="I50" i="42"/>
  <c r="H50" i="42"/>
  <c r="G50" i="42"/>
  <c r="G51" i="42" s="1"/>
  <c r="F50" i="42"/>
  <c r="Q48" i="42"/>
  <c r="P48" i="42"/>
  <c r="O48" i="42"/>
  <c r="N48" i="42"/>
  <c r="M48" i="42"/>
  <c r="L48" i="42"/>
  <c r="K48" i="42"/>
  <c r="J48" i="42"/>
  <c r="I48" i="42"/>
  <c r="H48" i="42"/>
  <c r="G48" i="42"/>
  <c r="F48" i="42"/>
  <c r="F40" i="42"/>
  <c r="G40" i="42" s="1"/>
  <c r="H40" i="42" s="1"/>
  <c r="I40" i="42" s="1"/>
  <c r="J40" i="42" s="1"/>
  <c r="K40" i="42" s="1"/>
  <c r="L40" i="42" s="1"/>
  <c r="M40" i="42" s="1"/>
  <c r="N40" i="42" s="1"/>
  <c r="O40" i="42" s="1"/>
  <c r="P40" i="42" s="1"/>
  <c r="Q40" i="42" s="1"/>
  <c r="R40" i="42" s="1"/>
  <c r="S40" i="42" s="1"/>
  <c r="A42" i="42"/>
  <c r="A43" i="42" s="1"/>
  <c r="A44" i="42" s="1"/>
  <c r="A45" i="42" s="1"/>
  <c r="A46" i="42"/>
  <c r="A47" i="42" s="1"/>
  <c r="A48" i="42" s="1"/>
  <c r="A49" i="42" s="1"/>
  <c r="A50" i="42" s="1"/>
  <c r="A51" i="42" s="1"/>
  <c r="A52" i="42" s="1"/>
  <c r="A53" i="42" s="1"/>
  <c r="F41" i="42"/>
  <c r="E42" i="42"/>
  <c r="F42" i="42" s="1"/>
  <c r="E45" i="42"/>
  <c r="D32" i="1"/>
  <c r="E32" i="1"/>
  <c r="C32" i="1"/>
  <c r="D31" i="1"/>
  <c r="E31" i="1"/>
  <c r="C31" i="1"/>
  <c r="D30" i="1"/>
  <c r="E30" i="1"/>
  <c r="C30" i="1"/>
  <c r="E103" i="32"/>
  <c r="B5" i="1"/>
  <c r="A2" i="35" s="1"/>
  <c r="K10" i="35"/>
  <c r="M10" i="35" s="1"/>
  <c r="I10" i="35"/>
  <c r="D103" i="32"/>
  <c r="F79" i="11"/>
  <c r="F87" i="11" s="1"/>
  <c r="F63" i="11"/>
  <c r="F67" i="11" s="1"/>
  <c r="F47" i="11"/>
  <c r="F54" i="11" s="1"/>
  <c r="F31" i="11"/>
  <c r="F37" i="11" s="1"/>
  <c r="E73" i="33"/>
  <c r="D39" i="1" s="1"/>
  <c r="F73" i="33"/>
  <c r="E39" i="1" s="1"/>
  <c r="D73" i="33"/>
  <c r="C39" i="1" s="1"/>
  <c r="D62" i="34"/>
  <c r="E62" i="34"/>
  <c r="F62" i="34"/>
  <c r="G62" i="34"/>
  <c r="H62" i="34"/>
  <c r="C7" i="33"/>
  <c r="E57" i="34"/>
  <c r="F57" i="34"/>
  <c r="D57" i="34"/>
  <c r="R7" i="42"/>
  <c r="R9" i="42"/>
  <c r="R10" i="42"/>
  <c r="R11" i="42"/>
  <c r="R12" i="42"/>
  <c r="R13" i="42"/>
  <c r="R14" i="42"/>
  <c r="R15" i="42"/>
  <c r="R16" i="42"/>
  <c r="R17" i="42"/>
  <c r="R20" i="42"/>
  <c r="O7" i="42"/>
  <c r="O9" i="42"/>
  <c r="O10" i="42"/>
  <c r="O11" i="42"/>
  <c r="O12" i="42"/>
  <c r="O13" i="42"/>
  <c r="O14" i="42"/>
  <c r="O15" i="42"/>
  <c r="O16" i="42"/>
  <c r="O17" i="42"/>
  <c r="O20" i="42"/>
  <c r="L7" i="42"/>
  <c r="L8" i="42"/>
  <c r="L9" i="42"/>
  <c r="L10" i="42"/>
  <c r="L11" i="42"/>
  <c r="L12" i="42"/>
  <c r="L13" i="42"/>
  <c r="L14" i="42"/>
  <c r="L15" i="42"/>
  <c r="L16" i="42"/>
  <c r="L17" i="42"/>
  <c r="L20" i="42"/>
  <c r="I7" i="42"/>
  <c r="I8" i="42"/>
  <c r="I9" i="42"/>
  <c r="I10" i="42"/>
  <c r="I11" i="42"/>
  <c r="I12" i="42"/>
  <c r="I13" i="42"/>
  <c r="I14" i="42"/>
  <c r="I15" i="42"/>
  <c r="I16" i="42"/>
  <c r="I17" i="42"/>
  <c r="I20" i="42"/>
  <c r="F20" i="42"/>
  <c r="F6" i="42"/>
  <c r="F7" i="42"/>
  <c r="F8" i="42"/>
  <c r="F9" i="42"/>
  <c r="F10" i="42"/>
  <c r="F11" i="42"/>
  <c r="F12" i="42"/>
  <c r="F13" i="42"/>
  <c r="F14" i="42"/>
  <c r="F15" i="42"/>
  <c r="F16" i="42"/>
  <c r="F17" i="42"/>
  <c r="F5" i="42"/>
  <c r="C42" i="1"/>
  <c r="E18" i="42"/>
  <c r="E19" i="42"/>
  <c r="E22" i="42" s="1"/>
  <c r="H6" i="42" s="1"/>
  <c r="H19" i="42" s="1"/>
  <c r="H22" i="42" s="1"/>
  <c r="K6" i="42" s="1"/>
  <c r="K19" i="42" s="1"/>
  <c r="K22" i="42" s="1"/>
  <c r="N6" i="42" s="1"/>
  <c r="N19" i="42" s="1"/>
  <c r="N22" i="42" s="1"/>
  <c r="Q6" i="42" s="1"/>
  <c r="Q19" i="42" s="1"/>
  <c r="Q22" i="42" s="1"/>
  <c r="A6" i="42"/>
  <c r="A7" i="42" s="1"/>
  <c r="A8" i="42" s="1"/>
  <c r="A9" i="42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G12" i="1"/>
  <c r="G28" i="1"/>
  <c r="G27" i="1"/>
  <c r="G26" i="1"/>
  <c r="G25" i="1"/>
  <c r="G15" i="1"/>
  <c r="G14" i="1"/>
  <c r="G13" i="1"/>
  <c r="F28" i="1"/>
  <c r="F27" i="1"/>
  <c r="F26" i="1"/>
  <c r="F25" i="1"/>
  <c r="F15" i="1"/>
  <c r="F14" i="1"/>
  <c r="F13" i="1"/>
  <c r="F12" i="1"/>
  <c r="D36" i="1"/>
  <c r="E36" i="1"/>
  <c r="D35" i="1"/>
  <c r="E35" i="1"/>
  <c r="D34" i="1"/>
  <c r="E34" i="1"/>
  <c r="D33" i="1"/>
  <c r="E33" i="1"/>
  <c r="D15" i="1"/>
  <c r="E15" i="1"/>
  <c r="D14" i="1"/>
  <c r="E14" i="1"/>
  <c r="D13" i="1"/>
  <c r="E13" i="1"/>
  <c r="D12" i="1"/>
  <c r="E12" i="1"/>
  <c r="C36" i="1"/>
  <c r="C35" i="1"/>
  <c r="C34" i="1"/>
  <c r="C33" i="1"/>
  <c r="C15" i="1"/>
  <c r="C14" i="1"/>
  <c r="C13" i="1"/>
  <c r="C12" i="1"/>
  <c r="K84" i="35"/>
  <c r="H127" i="32"/>
  <c r="G127" i="32"/>
  <c r="F127" i="32"/>
  <c r="E127" i="32"/>
  <c r="D127" i="32"/>
  <c r="E124" i="32"/>
  <c r="D23" i="1" s="1"/>
  <c r="F124" i="32"/>
  <c r="E23" i="1" s="1"/>
  <c r="G124" i="32"/>
  <c r="F23" i="1" s="1"/>
  <c r="H124" i="32"/>
  <c r="G23" i="1" s="1"/>
  <c r="D124" i="32"/>
  <c r="C23" i="1" s="1"/>
  <c r="H119" i="32"/>
  <c r="G119" i="32"/>
  <c r="F119" i="32"/>
  <c r="E119" i="32"/>
  <c r="D119" i="32"/>
  <c r="E116" i="32"/>
  <c r="F116" i="32"/>
  <c r="G116" i="32"/>
  <c r="H116" i="32"/>
  <c r="H14" i="33" s="1"/>
  <c r="H16" i="33" s="1"/>
  <c r="D116" i="32"/>
  <c r="E111" i="32"/>
  <c r="F111" i="32"/>
  <c r="G111" i="32"/>
  <c r="H111" i="32"/>
  <c r="D111" i="32"/>
  <c r="D99" i="32"/>
  <c r="D101" i="32" s="1"/>
  <c r="H108" i="32"/>
  <c r="E108" i="32"/>
  <c r="F8" i="33"/>
  <c r="G108" i="32"/>
  <c r="H99" i="32"/>
  <c r="H101" i="32" s="1"/>
  <c r="G99" i="32"/>
  <c r="G101" i="32" s="1"/>
  <c r="F99" i="32"/>
  <c r="F101" i="32" s="1"/>
  <c r="E99" i="32"/>
  <c r="E101" i="32" s="1"/>
  <c r="H90" i="32"/>
  <c r="H92" i="32" s="1"/>
  <c r="G90" i="32"/>
  <c r="G92" i="32" s="1"/>
  <c r="F90" i="32"/>
  <c r="F92" i="32" s="1"/>
  <c r="E90" i="32"/>
  <c r="E92" i="32" s="1"/>
  <c r="D90" i="32"/>
  <c r="D92" i="32" s="1"/>
  <c r="H80" i="32"/>
  <c r="H82" i="32" s="1"/>
  <c r="G80" i="32"/>
  <c r="G82" i="32" s="1"/>
  <c r="F80" i="32"/>
  <c r="F82" i="32" s="1"/>
  <c r="E80" i="32"/>
  <c r="E82" i="32" s="1"/>
  <c r="D80" i="32"/>
  <c r="D82" i="32" s="1"/>
  <c r="H71" i="32"/>
  <c r="H73" i="32" s="1"/>
  <c r="G71" i="32"/>
  <c r="G73" i="32" s="1"/>
  <c r="F71" i="32"/>
  <c r="F73" i="32" s="1"/>
  <c r="E71" i="32"/>
  <c r="E73" i="32" s="1"/>
  <c r="D71" i="32"/>
  <c r="D73" i="32" s="1"/>
  <c r="H61" i="32"/>
  <c r="H63" i="32" s="1"/>
  <c r="G61" i="32"/>
  <c r="G63" i="32" s="1"/>
  <c r="F61" i="32"/>
  <c r="F63" i="32" s="1"/>
  <c r="E61" i="32"/>
  <c r="E63" i="32" s="1"/>
  <c r="D61" i="32"/>
  <c r="D63" i="32" s="1"/>
  <c r="H52" i="32"/>
  <c r="H54" i="32" s="1"/>
  <c r="G52" i="32"/>
  <c r="G54" i="32" s="1"/>
  <c r="F52" i="32"/>
  <c r="F54" i="32" s="1"/>
  <c r="E52" i="32"/>
  <c r="D52" i="32"/>
  <c r="D54" i="32" s="1"/>
  <c r="H42" i="32"/>
  <c r="G44" i="32"/>
  <c r="F42" i="32"/>
  <c r="F44" i="32" s="1"/>
  <c r="E42" i="32"/>
  <c r="E44" i="32" s="1"/>
  <c r="D42" i="32"/>
  <c r="H33" i="32"/>
  <c r="H35" i="32" s="1"/>
  <c r="G35" i="32"/>
  <c r="F33" i="32"/>
  <c r="F35" i="32" s="1"/>
  <c r="E33" i="32"/>
  <c r="E35" i="32" s="1"/>
  <c r="D33" i="32"/>
  <c r="D35" i="32" s="1"/>
  <c r="H24" i="32"/>
  <c r="G24" i="32"/>
  <c r="F24" i="32"/>
  <c r="F26" i="32" s="1"/>
  <c r="E24" i="32"/>
  <c r="E26" i="32" s="1"/>
  <c r="D24" i="32"/>
  <c r="D26" i="32" s="1"/>
  <c r="H15" i="32"/>
  <c r="H17" i="32" s="1"/>
  <c r="G15" i="32"/>
  <c r="G17" i="32" s="1"/>
  <c r="F15" i="32"/>
  <c r="E15" i="32"/>
  <c r="E17" i="32" s="1"/>
  <c r="D15" i="32"/>
  <c r="D17" i="32" s="1"/>
  <c r="H25" i="34"/>
  <c r="G25" i="34"/>
  <c r="F25" i="34"/>
  <c r="E25" i="34"/>
  <c r="D25" i="34"/>
  <c r="D53" i="33"/>
  <c r="D54" i="33" s="1"/>
  <c r="E53" i="33"/>
  <c r="E54" i="33" s="1"/>
  <c r="F53" i="33"/>
  <c r="F54" i="33" s="1"/>
  <c r="G53" i="33"/>
  <c r="G55" i="33" s="1"/>
  <c r="H53" i="33"/>
  <c r="H55" i="33" s="1"/>
  <c r="A5" i="26"/>
  <c r="A6" i="26" s="1"/>
  <c r="A7" i="26" s="1"/>
  <c r="A8" i="26" s="1"/>
  <c r="A9" i="26" s="1"/>
  <c r="A10" i="26" s="1"/>
  <c r="E47" i="33"/>
  <c r="D37" i="1" s="1"/>
  <c r="F47" i="33"/>
  <c r="E37" i="1" s="1"/>
  <c r="D47" i="33"/>
  <c r="C37" i="1" s="1"/>
  <c r="E6" i="26"/>
  <c r="F6" i="26"/>
  <c r="G6" i="26"/>
  <c r="G10" i="26" s="1"/>
  <c r="H6" i="26"/>
  <c r="D6" i="26"/>
  <c r="F5" i="26"/>
  <c r="D5" i="26"/>
  <c r="E133" i="32"/>
  <c r="F133" i="32"/>
  <c r="G133" i="32"/>
  <c r="H133" i="32"/>
  <c r="D133" i="32"/>
  <c r="M108" i="35"/>
  <c r="K108" i="35"/>
  <c r="M101" i="35"/>
  <c r="K101" i="35"/>
  <c r="M100" i="35"/>
  <c r="K100" i="35"/>
  <c r="M99" i="35"/>
  <c r="K99" i="35"/>
  <c r="M86" i="35"/>
  <c r="K86" i="35"/>
  <c r="M85" i="35"/>
  <c r="K85" i="35"/>
  <c r="M84" i="35"/>
  <c r="I77" i="35"/>
  <c r="J77" i="35" s="1"/>
  <c r="K77" i="35" s="1"/>
  <c r="L77" i="35" s="1"/>
  <c r="M77" i="35" s="1"/>
  <c r="I71" i="35"/>
  <c r="I70" i="35"/>
  <c r="I69" i="35"/>
  <c r="J69" i="35" s="1"/>
  <c r="I68" i="35"/>
  <c r="J68" i="35" s="1"/>
  <c r="I67" i="35"/>
  <c r="J67" i="35" s="1"/>
  <c r="I66" i="35"/>
  <c r="J66" i="35" s="1"/>
  <c r="I65" i="35"/>
  <c r="J65" i="35" s="1"/>
  <c r="I64" i="35"/>
  <c r="I63" i="35"/>
  <c r="I62" i="35"/>
  <c r="I61" i="35"/>
  <c r="J61" i="35" s="1"/>
  <c r="I60" i="35"/>
  <c r="J60" i="35" s="1"/>
  <c r="I59" i="35"/>
  <c r="J59" i="35" s="1"/>
  <c r="I58" i="35"/>
  <c r="J58" i="35" s="1"/>
  <c r="K58" i="35" s="1"/>
  <c r="I56" i="35"/>
  <c r="J56" i="35" s="1"/>
  <c r="I55" i="35"/>
  <c r="J55" i="35" s="1"/>
  <c r="K55" i="35" s="1"/>
  <c r="I54" i="35"/>
  <c r="J54" i="35" s="1"/>
  <c r="I53" i="35"/>
  <c r="J53" i="35" s="1"/>
  <c r="K53" i="35" s="1"/>
  <c r="I52" i="35"/>
  <c r="I51" i="35"/>
  <c r="I50" i="35"/>
  <c r="I49" i="35"/>
  <c r="J49" i="35" s="1"/>
  <c r="I48" i="35"/>
  <c r="J48" i="35" s="1"/>
  <c r="K48" i="35" s="1"/>
  <c r="I47" i="35"/>
  <c r="J47" i="35" s="1"/>
  <c r="K47" i="35" s="1"/>
  <c r="L47" i="35" s="1"/>
  <c r="M47" i="35" s="1"/>
  <c r="I46" i="35"/>
  <c r="J46" i="35" s="1"/>
  <c r="I45" i="35"/>
  <c r="J45" i="35" s="1"/>
  <c r="I44" i="35"/>
  <c r="J44" i="35" s="1"/>
  <c r="K44" i="35" s="1"/>
  <c r="I43" i="35"/>
  <c r="J43" i="35" s="1"/>
  <c r="I42" i="35"/>
  <c r="J42" i="35" s="1"/>
  <c r="I41" i="35"/>
  <c r="I40" i="35"/>
  <c r="I39" i="35"/>
  <c r="I38" i="35"/>
  <c r="I37" i="35"/>
  <c r="I31" i="35"/>
  <c r="I30" i="35"/>
  <c r="I29" i="35"/>
  <c r="J29" i="35" s="1"/>
  <c r="I16" i="35"/>
  <c r="J15" i="35"/>
  <c r="E12" i="35"/>
  <c r="D12" i="35"/>
  <c r="D32" i="35" s="1"/>
  <c r="K11" i="35"/>
  <c r="M11" i="35" s="1"/>
  <c r="I11" i="35"/>
  <c r="K9" i="35"/>
  <c r="I9" i="35"/>
  <c r="K8" i="35"/>
  <c r="H5" i="35"/>
  <c r="I62" i="39"/>
  <c r="I63" i="39"/>
  <c r="J63" i="39"/>
  <c r="I64" i="39"/>
  <c r="J64" i="39" s="1"/>
  <c r="I65" i="39"/>
  <c r="J65" i="39" s="1"/>
  <c r="K65" i="39" s="1"/>
  <c r="L65" i="39" s="1"/>
  <c r="M65" i="39" s="1"/>
  <c r="I66" i="39"/>
  <c r="J66" i="39" s="1"/>
  <c r="I67" i="39"/>
  <c r="J67" i="39" s="1"/>
  <c r="K67" i="39" s="1"/>
  <c r="I68" i="39"/>
  <c r="J68" i="39"/>
  <c r="K68" i="39" s="1"/>
  <c r="L68" i="39" s="1"/>
  <c r="I69" i="39"/>
  <c r="I70" i="39"/>
  <c r="J70" i="39"/>
  <c r="I76" i="39"/>
  <c r="I77" i="39"/>
  <c r="I78" i="39"/>
  <c r="J78" i="39" s="1"/>
  <c r="I79" i="39"/>
  <c r="J79" i="39" s="1"/>
  <c r="K79" i="39"/>
  <c r="L79" i="39" s="1"/>
  <c r="M79" i="39" s="1"/>
  <c r="I80" i="39"/>
  <c r="J80" i="39"/>
  <c r="I21" i="39"/>
  <c r="J21" i="39"/>
  <c r="K21" i="39" s="1"/>
  <c r="L21" i="39" s="1"/>
  <c r="I22" i="39"/>
  <c r="J22" i="39" s="1"/>
  <c r="K22" i="39"/>
  <c r="I23" i="39"/>
  <c r="I24" i="39"/>
  <c r="I30" i="39"/>
  <c r="J30" i="39" s="1"/>
  <c r="I31" i="39"/>
  <c r="J31" i="39" s="1"/>
  <c r="K31" i="39" s="1"/>
  <c r="L31" i="39" s="1"/>
  <c r="I32" i="39"/>
  <c r="J32" i="39"/>
  <c r="K32" i="39" s="1"/>
  <c r="L32" i="39" s="1"/>
  <c r="I33" i="39"/>
  <c r="I34" i="39"/>
  <c r="J34" i="39"/>
  <c r="K34" i="39"/>
  <c r="I16" i="39"/>
  <c r="I35" i="39" s="1"/>
  <c r="I37" i="39" s="1"/>
  <c r="G121" i="39" s="1"/>
  <c r="J16" i="39"/>
  <c r="K16" i="39"/>
  <c r="M16" i="39" s="1"/>
  <c r="L16" i="39"/>
  <c r="I17" i="39"/>
  <c r="J17" i="39"/>
  <c r="K17" i="39"/>
  <c r="I18" i="39"/>
  <c r="J18" i="39" s="1"/>
  <c r="I19" i="39"/>
  <c r="J19" i="39" s="1"/>
  <c r="I20" i="39"/>
  <c r="E48" i="34"/>
  <c r="F48" i="34"/>
  <c r="G48" i="34"/>
  <c r="H48" i="34"/>
  <c r="E35" i="34"/>
  <c r="F35" i="34"/>
  <c r="G35" i="34"/>
  <c r="H35" i="34"/>
  <c r="E13" i="34"/>
  <c r="F13" i="34"/>
  <c r="G13" i="34"/>
  <c r="H13" i="34"/>
  <c r="D13" i="34"/>
  <c r="D35" i="34"/>
  <c r="D48" i="34"/>
  <c r="C79" i="11"/>
  <c r="C86" i="11" s="1"/>
  <c r="E154" i="32"/>
  <c r="F154" i="32"/>
  <c r="G154" i="32"/>
  <c r="H154" i="32"/>
  <c r="D154" i="32"/>
  <c r="E58" i="33"/>
  <c r="E59" i="33" s="1"/>
  <c r="F59" i="33"/>
  <c r="G58" i="33"/>
  <c r="G60" i="33" s="1"/>
  <c r="H58" i="33"/>
  <c r="H60" i="33" s="1"/>
  <c r="D58" i="33"/>
  <c r="D59" i="33" s="1"/>
  <c r="E44" i="33"/>
  <c r="F44" i="33"/>
  <c r="D44" i="33"/>
  <c r="E40" i="33"/>
  <c r="E41" i="33" s="1"/>
  <c r="D28" i="1" s="1"/>
  <c r="F40" i="33"/>
  <c r="F41" i="33" s="1"/>
  <c r="E28" i="1" s="1"/>
  <c r="G40" i="33"/>
  <c r="G42" i="33" s="1"/>
  <c r="F36" i="1" s="1"/>
  <c r="H40" i="33"/>
  <c r="H42" i="33" s="1"/>
  <c r="G36" i="1" s="1"/>
  <c r="D40" i="33"/>
  <c r="D41" i="33" s="1"/>
  <c r="C28" i="1" s="1"/>
  <c r="E36" i="33"/>
  <c r="E37" i="33" s="1"/>
  <c r="D27" i="1" s="1"/>
  <c r="F36" i="33"/>
  <c r="F37" i="33" s="1"/>
  <c r="E27" i="1" s="1"/>
  <c r="G36" i="33"/>
  <c r="G38" i="33" s="1"/>
  <c r="F35" i="1" s="1"/>
  <c r="H36" i="33"/>
  <c r="H38" i="33" s="1"/>
  <c r="G35" i="1" s="1"/>
  <c r="D36" i="33"/>
  <c r="D37" i="33" s="1"/>
  <c r="C27" i="1" s="1"/>
  <c r="E32" i="33"/>
  <c r="E33" i="33" s="1"/>
  <c r="D26" i="1" s="1"/>
  <c r="F32" i="33"/>
  <c r="F33" i="33" s="1"/>
  <c r="E26" i="1" s="1"/>
  <c r="G32" i="33"/>
  <c r="G34" i="33" s="1"/>
  <c r="F34" i="1" s="1"/>
  <c r="H32" i="33"/>
  <c r="H34" i="33" s="1"/>
  <c r="G34" i="1" s="1"/>
  <c r="D32" i="33"/>
  <c r="D33" i="33" s="1"/>
  <c r="C26" i="1" s="1"/>
  <c r="E28" i="33"/>
  <c r="E29" i="33" s="1"/>
  <c r="D25" i="1" s="1"/>
  <c r="F28" i="33"/>
  <c r="F29" i="33" s="1"/>
  <c r="E25" i="1" s="1"/>
  <c r="G28" i="33"/>
  <c r="G30" i="33" s="1"/>
  <c r="F33" i="1" s="1"/>
  <c r="H28" i="33"/>
  <c r="H30" i="33" s="1"/>
  <c r="G33" i="1" s="1"/>
  <c r="D28" i="33"/>
  <c r="D29" i="33" s="1"/>
  <c r="C25" i="1" s="1"/>
  <c r="D25" i="33"/>
  <c r="E150" i="32"/>
  <c r="F150" i="32"/>
  <c r="G150" i="32"/>
  <c r="H150" i="32"/>
  <c r="D150" i="32"/>
  <c r="E147" i="32"/>
  <c r="F147" i="32"/>
  <c r="G147" i="32"/>
  <c r="H147" i="32"/>
  <c r="D147" i="32"/>
  <c r="H6" i="32"/>
  <c r="D5" i="22" s="1"/>
  <c r="I18" i="22" s="1"/>
  <c r="E8" i="11"/>
  <c r="E50" i="33" s="1"/>
  <c r="D38" i="1" s="1"/>
  <c r="F8" i="11"/>
  <c r="F50" i="33" s="1"/>
  <c r="E38" i="1" s="1"/>
  <c r="D8" i="11"/>
  <c r="D50" i="33" s="1"/>
  <c r="C38" i="1" s="1"/>
  <c r="K9" i="39"/>
  <c r="M9" i="39" s="1"/>
  <c r="K10" i="39"/>
  <c r="M10" i="39" s="1"/>
  <c r="K8" i="39"/>
  <c r="M8" i="39" s="1"/>
  <c r="I15" i="39"/>
  <c r="J15" i="39"/>
  <c r="K15" i="39" s="1"/>
  <c r="H5" i="39"/>
  <c r="I3" i="32"/>
  <c r="D6" i="32"/>
  <c r="D5" i="11" s="1"/>
  <c r="E6" i="32"/>
  <c r="E5" i="11" s="1"/>
  <c r="F6" i="32"/>
  <c r="J2" i="42" s="1"/>
  <c r="G6" i="32"/>
  <c r="C28" i="22" s="1"/>
  <c r="H40" i="22" s="1"/>
  <c r="I10" i="39"/>
  <c r="I9" i="39"/>
  <c r="I8" i="39"/>
  <c r="I61" i="39"/>
  <c r="I59" i="39"/>
  <c r="I58" i="39"/>
  <c r="I57" i="39"/>
  <c r="J57" i="39"/>
  <c r="I56" i="39"/>
  <c r="I55" i="39"/>
  <c r="J55" i="39"/>
  <c r="I54" i="39"/>
  <c r="I53" i="39"/>
  <c r="I52" i="39"/>
  <c r="J52" i="39"/>
  <c r="I51" i="39"/>
  <c r="J51" i="39" s="1"/>
  <c r="I50" i="39"/>
  <c r="J50" i="39" s="1"/>
  <c r="I49" i="39"/>
  <c r="I48" i="39"/>
  <c r="J48" i="39" s="1"/>
  <c r="K48" i="39" s="1"/>
  <c r="I47" i="39"/>
  <c r="I46" i="39"/>
  <c r="J46" i="39" s="1"/>
  <c r="K46" i="39" s="1"/>
  <c r="I45" i="39"/>
  <c r="I44" i="39"/>
  <c r="I43" i="39"/>
  <c r="J43" i="39" s="1"/>
  <c r="K43" i="39" s="1"/>
  <c r="L43" i="39" s="1"/>
  <c r="M43" i="39" s="1"/>
  <c r="I42" i="39"/>
  <c r="J42" i="39" s="1"/>
  <c r="I41" i="39"/>
  <c r="J41" i="39" s="1"/>
  <c r="K41" i="39"/>
  <c r="I40" i="39"/>
  <c r="J40" i="39"/>
  <c r="K40" i="39" s="1"/>
  <c r="L40" i="39" s="1"/>
  <c r="E107" i="26"/>
  <c r="E104" i="26"/>
  <c r="G104" i="26" s="1"/>
  <c r="E103" i="26"/>
  <c r="G103" i="26" s="1"/>
  <c r="E101" i="26"/>
  <c r="G101" i="26" s="1"/>
  <c r="E100" i="26"/>
  <c r="G100" i="26" s="1"/>
  <c r="E99" i="26"/>
  <c r="G99" i="26" s="1"/>
  <c r="E82" i="26"/>
  <c r="E79" i="26"/>
  <c r="G79" i="26" s="1"/>
  <c r="E78" i="26"/>
  <c r="G78" i="26" s="1"/>
  <c r="E76" i="26"/>
  <c r="G76" i="26" s="1"/>
  <c r="E75" i="26"/>
  <c r="G75" i="26" s="1"/>
  <c r="E74" i="26"/>
  <c r="G74" i="26" s="1"/>
  <c r="E57" i="26"/>
  <c r="E54" i="26"/>
  <c r="G54" i="26" s="1"/>
  <c r="E53" i="26"/>
  <c r="G53" i="26" s="1"/>
  <c r="E51" i="26"/>
  <c r="G51" i="26" s="1"/>
  <c r="E50" i="26"/>
  <c r="G50" i="26" s="1"/>
  <c r="E49" i="26"/>
  <c r="G49" i="26" s="1"/>
  <c r="E29" i="26"/>
  <c r="G29" i="26" s="1"/>
  <c r="E28" i="26"/>
  <c r="G28" i="26" s="1"/>
  <c r="E26" i="26"/>
  <c r="G26" i="26" s="1"/>
  <c r="E25" i="26"/>
  <c r="G25" i="26" s="1"/>
  <c r="E24" i="26"/>
  <c r="G24" i="26" s="1"/>
  <c r="C70" i="11"/>
  <c r="C63" i="11"/>
  <c r="C66" i="11" s="1"/>
  <c r="G106" i="26"/>
  <c r="G105" i="26"/>
  <c r="G81" i="26"/>
  <c r="G80" i="26"/>
  <c r="G56" i="26"/>
  <c r="G55" i="26"/>
  <c r="G31" i="26"/>
  <c r="G30" i="26"/>
  <c r="C38" i="11"/>
  <c r="C31" i="11"/>
  <c r="C40" i="11" s="1"/>
  <c r="G102" i="26"/>
  <c r="G98" i="26"/>
  <c r="G97" i="26"/>
  <c r="G96" i="26"/>
  <c r="G95" i="26"/>
  <c r="G94" i="26"/>
  <c r="G77" i="26"/>
  <c r="G73" i="26"/>
  <c r="G72" i="26"/>
  <c r="G71" i="26"/>
  <c r="G70" i="26"/>
  <c r="G69" i="26"/>
  <c r="G52" i="26"/>
  <c r="G48" i="26"/>
  <c r="G47" i="26"/>
  <c r="G46" i="26"/>
  <c r="G45" i="26"/>
  <c r="G44" i="26"/>
  <c r="G27" i="26"/>
  <c r="G23" i="26"/>
  <c r="G22" i="26"/>
  <c r="G21" i="26"/>
  <c r="G20" i="26"/>
  <c r="G19" i="26"/>
  <c r="H67" i="33"/>
  <c r="H69" i="33" s="1"/>
  <c r="G67" i="33"/>
  <c r="G69" i="33" s="1"/>
  <c r="F67" i="33"/>
  <c r="F68" i="33" s="1"/>
  <c r="E67" i="33"/>
  <c r="E68" i="33" s="1"/>
  <c r="D67" i="33"/>
  <c r="D68" i="33" s="1"/>
  <c r="C67" i="33"/>
  <c r="C68" i="33" s="1"/>
  <c r="H63" i="33"/>
  <c r="H65" i="33" s="1"/>
  <c r="G63" i="33"/>
  <c r="G65" i="33" s="1"/>
  <c r="F63" i="33"/>
  <c r="F64" i="33" s="1"/>
  <c r="E63" i="33"/>
  <c r="E64" i="33" s="1"/>
  <c r="D63" i="33"/>
  <c r="D64" i="33" s="1"/>
  <c r="C63" i="33"/>
  <c r="C64" i="33" s="1"/>
  <c r="C58" i="33"/>
  <c r="C19" i="33"/>
  <c r="C20" i="33"/>
  <c r="C21" i="33" s="1"/>
  <c r="B24" i="1" s="1"/>
  <c r="C14" i="33"/>
  <c r="C15" i="33" s="1"/>
  <c r="C13" i="33"/>
  <c r="C8" i="33"/>
  <c r="C9" i="33" s="1"/>
  <c r="E25" i="33"/>
  <c r="G142" i="32"/>
  <c r="F142" i="32"/>
  <c r="E142" i="32"/>
  <c r="D142" i="32"/>
  <c r="D19" i="42"/>
  <c r="D18" i="42"/>
  <c r="D21" i="42" s="1"/>
  <c r="G5" i="42" s="1"/>
  <c r="G18" i="42" s="1"/>
  <c r="G43" i="42"/>
  <c r="H43" i="42" s="1"/>
  <c r="I43" i="42" s="1"/>
  <c r="H26" i="32"/>
  <c r="F17" i="11"/>
  <c r="F68" i="11"/>
  <c r="F83" i="11"/>
  <c r="F86" i="11"/>
  <c r="F85" i="11"/>
  <c r="F88" i="11"/>
  <c r="F22" i="11"/>
  <c r="K63" i="39"/>
  <c r="D83" i="39"/>
  <c r="K80" i="39"/>
  <c r="L80" i="39" s="1"/>
  <c r="M80" i="39" s="1"/>
  <c r="I12" i="39"/>
  <c r="J58" i="39"/>
  <c r="K58" i="39" s="1"/>
  <c r="K18" i="39"/>
  <c r="L18" i="39" s="1"/>
  <c r="M18" i="39" s="1"/>
  <c r="J20" i="39"/>
  <c r="K20" i="39" s="1"/>
  <c r="L20" i="39" s="1"/>
  <c r="M20" i="39" s="1"/>
  <c r="L34" i="39"/>
  <c r="M34" i="39" s="1"/>
  <c r="K30" i="39"/>
  <c r="L67" i="39"/>
  <c r="M67" i="39" s="1"/>
  <c r="L22" i="39"/>
  <c r="M22" i="39" s="1"/>
  <c r="J53" i="39"/>
  <c r="K53" i="39"/>
  <c r="L53" i="39" s="1"/>
  <c r="L17" i="39"/>
  <c r="M17" i="39" s="1"/>
  <c r="M68" i="39"/>
  <c r="K42" i="39"/>
  <c r="L42" i="39" s="1"/>
  <c r="J56" i="39"/>
  <c r="K56" i="39" s="1"/>
  <c r="J115" i="39"/>
  <c r="L41" i="39"/>
  <c r="J61" i="39"/>
  <c r="K61" i="39" s="1"/>
  <c r="J33" i="39"/>
  <c r="K33" i="39"/>
  <c r="L33" i="39" s="1"/>
  <c r="M33" i="39" s="1"/>
  <c r="J76" i="39"/>
  <c r="K76" i="39" s="1"/>
  <c r="L76" i="39" s="1"/>
  <c r="L58" i="39"/>
  <c r="M58" i="39" s="1"/>
  <c r="K50" i="39"/>
  <c r="J24" i="39"/>
  <c r="K24" i="39"/>
  <c r="L24" i="39" s="1"/>
  <c r="K64" i="39"/>
  <c r="L64" i="39" s="1"/>
  <c r="L50" i="39"/>
  <c r="M50" i="39" s="1"/>
  <c r="J31" i="35" l="1"/>
  <c r="J70" i="35"/>
  <c r="K70" i="35" s="1"/>
  <c r="J62" i="35"/>
  <c r="K62" i="35" s="1"/>
  <c r="L62" i="35" s="1"/>
  <c r="F109" i="35"/>
  <c r="F94" i="35"/>
  <c r="J63" i="35"/>
  <c r="K63" i="35" s="1"/>
  <c r="L63" i="35" s="1"/>
  <c r="K43" i="35"/>
  <c r="L43" i="35" s="1"/>
  <c r="M43" i="35" s="1"/>
  <c r="J41" i="35"/>
  <c r="K41" i="35" s="1"/>
  <c r="K12" i="35"/>
  <c r="L96" i="35"/>
  <c r="L111" i="35"/>
  <c r="M9" i="35"/>
  <c r="L70" i="35"/>
  <c r="M70" i="35" s="1"/>
  <c r="K54" i="35"/>
  <c r="L54" i="35" s="1"/>
  <c r="L44" i="35"/>
  <c r="M44" i="35" s="1"/>
  <c r="L48" i="35"/>
  <c r="J64" i="35"/>
  <c r="K64" i="35" s="1"/>
  <c r="L64" i="35" s="1"/>
  <c r="J51" i="35"/>
  <c r="K51" i="35" s="1"/>
  <c r="J40" i="35"/>
  <c r="K40" i="35" s="1"/>
  <c r="L40" i="35" s="1"/>
  <c r="J39" i="35"/>
  <c r="K39" i="35" s="1"/>
  <c r="L39" i="35" s="1"/>
  <c r="M39" i="35" s="1"/>
  <c r="J38" i="35"/>
  <c r="K79" i="35"/>
  <c r="M79" i="35" s="1"/>
  <c r="E32" i="35"/>
  <c r="K31" i="35"/>
  <c r="L31" i="35" s="1"/>
  <c r="J16" i="35"/>
  <c r="K16" i="35" s="1"/>
  <c r="F59" i="34"/>
  <c r="F63" i="34" s="1"/>
  <c r="H59" i="34"/>
  <c r="H63" i="34" s="1"/>
  <c r="G8" i="33"/>
  <c r="F30" i="1" s="1"/>
  <c r="G47" i="33"/>
  <c r="F37" i="1" s="1"/>
  <c r="G7" i="26"/>
  <c r="G59" i="34"/>
  <c r="G63" i="34" s="1"/>
  <c r="I78" i="35"/>
  <c r="F78" i="35"/>
  <c r="E125" i="32"/>
  <c r="D14" i="33"/>
  <c r="D15" i="33" s="1"/>
  <c r="E110" i="26"/>
  <c r="G110" i="26" s="1"/>
  <c r="E109" i="26"/>
  <c r="G109" i="26" s="1"/>
  <c r="G111" i="26" s="1"/>
  <c r="E83" i="26"/>
  <c r="G83" i="26" s="1"/>
  <c r="E85" i="26"/>
  <c r="G85" i="26" s="1"/>
  <c r="E84" i="26"/>
  <c r="G84" i="26" s="1"/>
  <c r="E59" i="26"/>
  <c r="G59" i="26" s="1"/>
  <c r="E60" i="26"/>
  <c r="G60" i="26" s="1"/>
  <c r="G32" i="26"/>
  <c r="E35" i="26"/>
  <c r="G35" i="26" s="1"/>
  <c r="E34" i="26"/>
  <c r="G34" i="26" s="1"/>
  <c r="F66" i="11"/>
  <c r="F71" i="11"/>
  <c r="F72" i="11"/>
  <c r="F69" i="11"/>
  <c r="F84" i="11"/>
  <c r="F75" i="33"/>
  <c r="F82" i="11"/>
  <c r="C87" i="11"/>
  <c r="C54" i="11"/>
  <c r="C88" i="11"/>
  <c r="C84" i="11"/>
  <c r="C83" i="11"/>
  <c r="C55" i="11"/>
  <c r="D125" i="32"/>
  <c r="H125" i="32"/>
  <c r="G125" i="32"/>
  <c r="E20" i="33"/>
  <c r="E21" i="33" s="1"/>
  <c r="D24" i="1" s="1"/>
  <c r="D117" i="32"/>
  <c r="G31" i="1"/>
  <c r="F14" i="33"/>
  <c r="F15" i="33" s="1"/>
  <c r="E117" i="32"/>
  <c r="D22" i="11"/>
  <c r="D21" i="11"/>
  <c r="D20" i="11"/>
  <c r="D23" i="11"/>
  <c r="E23" i="11" s="1"/>
  <c r="D32" i="11"/>
  <c r="B54" i="1"/>
  <c r="F34" i="11"/>
  <c r="C53" i="11"/>
  <c r="C69" i="11"/>
  <c r="C52" i="11"/>
  <c r="C51" i="11"/>
  <c r="F53" i="11"/>
  <c r="F51" i="11"/>
  <c r="C37" i="11"/>
  <c r="C36" i="11"/>
  <c r="E4" i="33"/>
  <c r="G20" i="33"/>
  <c r="G22" i="33" s="1"/>
  <c r="F32" i="1" s="1"/>
  <c r="F131" i="32"/>
  <c r="F138" i="32" s="1"/>
  <c r="E118" i="32"/>
  <c r="E17" i="33" s="1"/>
  <c r="K65" i="35"/>
  <c r="L65" i="35" s="1"/>
  <c r="M65" i="35" s="1"/>
  <c r="G14" i="33"/>
  <c r="G16" i="33" s="1"/>
  <c r="G17" i="33" s="1"/>
  <c r="G126" i="32"/>
  <c r="G128" i="32" s="1"/>
  <c r="K69" i="35"/>
  <c r="L69" i="35" s="1"/>
  <c r="M69" i="35" s="1"/>
  <c r="F39" i="11"/>
  <c r="F118" i="32"/>
  <c r="F120" i="32" s="1"/>
  <c r="G131" i="32"/>
  <c r="F10" i="1" s="1"/>
  <c r="D131" i="32"/>
  <c r="C10" i="1" s="1"/>
  <c r="M97" i="39"/>
  <c r="M99" i="39" s="1"/>
  <c r="M115" i="39" s="1"/>
  <c r="K112" i="39"/>
  <c r="K114" i="39" s="1"/>
  <c r="H122" i="39" s="1"/>
  <c r="K12" i="39"/>
  <c r="M8" i="35"/>
  <c r="H44" i="33"/>
  <c r="D118" i="32"/>
  <c r="D120" i="32" s="1"/>
  <c r="D110" i="32"/>
  <c r="F36" i="11"/>
  <c r="F35" i="11"/>
  <c r="H8" i="33"/>
  <c r="K109" i="35"/>
  <c r="K111" i="35" s="1"/>
  <c r="M109" i="35"/>
  <c r="M111" i="35" s="1"/>
  <c r="H110" i="32"/>
  <c r="G19" i="1" s="1"/>
  <c r="G73" i="33"/>
  <c r="F39" i="1" s="1"/>
  <c r="K51" i="39"/>
  <c r="L51" i="39" s="1"/>
  <c r="H73" i="33"/>
  <c r="G39" i="1" s="1"/>
  <c r="D59" i="34"/>
  <c r="C40" i="1" s="1"/>
  <c r="C49" i="1" s="1"/>
  <c r="D4" i="26"/>
  <c r="K49" i="35"/>
  <c r="L49" i="35" s="1"/>
  <c r="M49" i="35" s="1"/>
  <c r="K67" i="35"/>
  <c r="L67" i="35" s="1"/>
  <c r="F3" i="26"/>
  <c r="F40" i="11"/>
  <c r="C82" i="11"/>
  <c r="D20" i="33"/>
  <c r="D21" i="33" s="1"/>
  <c r="C24" i="1" s="1"/>
  <c r="J44" i="39"/>
  <c r="K44" i="39" s="1"/>
  <c r="L44" i="39" s="1"/>
  <c r="M44" i="39" s="1"/>
  <c r="K45" i="35"/>
  <c r="L45" i="35" s="1"/>
  <c r="M45" i="35" s="1"/>
  <c r="B55" i="1"/>
  <c r="F5" i="34"/>
  <c r="F52" i="11"/>
  <c r="H20" i="33"/>
  <c r="H22" i="33" s="1"/>
  <c r="G32" i="1" s="1"/>
  <c r="E14" i="33"/>
  <c r="E15" i="33" s="1"/>
  <c r="C85" i="11"/>
  <c r="E110" i="32"/>
  <c r="E109" i="32" s="1"/>
  <c r="M40" i="39"/>
  <c r="K56" i="35"/>
  <c r="L56" i="35" s="1"/>
  <c r="F50" i="11"/>
  <c r="C39" i="11"/>
  <c r="J77" i="39"/>
  <c r="K77" i="39" s="1"/>
  <c r="L77" i="39" s="1"/>
  <c r="M77" i="39" s="1"/>
  <c r="E59" i="34"/>
  <c r="E63" i="34" s="1"/>
  <c r="H126" i="32"/>
  <c r="H128" i="32" s="1"/>
  <c r="H83" i="39"/>
  <c r="M112" i="39"/>
  <c r="M114" i="39" s="1"/>
  <c r="M94" i="35"/>
  <c r="M96" i="35" s="1"/>
  <c r="D111" i="35"/>
  <c r="D112" i="35" s="1"/>
  <c r="H37" i="39"/>
  <c r="D114" i="39"/>
  <c r="D115" i="39" s="1"/>
  <c r="G82" i="26"/>
  <c r="G86" i="26" s="1"/>
  <c r="E4" i="26"/>
  <c r="E75" i="33"/>
  <c r="D75" i="33"/>
  <c r="F4" i="26"/>
  <c r="B56" i="1"/>
  <c r="E29" i="1"/>
  <c r="D29" i="1"/>
  <c r="H4" i="33"/>
  <c r="E3" i="26"/>
  <c r="D80" i="11"/>
  <c r="D64" i="11"/>
  <c r="D9" i="1"/>
  <c r="G18" i="11"/>
  <c r="D48" i="11"/>
  <c r="E5" i="34"/>
  <c r="G2" i="42"/>
  <c r="D44" i="32"/>
  <c r="H44" i="32"/>
  <c r="E54" i="32"/>
  <c r="D3" i="26"/>
  <c r="H131" i="32"/>
  <c r="G10" i="1" s="1"/>
  <c r="E8" i="33"/>
  <c r="E9" i="33" s="1"/>
  <c r="F4" i="33"/>
  <c r="E9" i="1"/>
  <c r="D8" i="33"/>
  <c r="D9" i="33" s="1"/>
  <c r="E126" i="32"/>
  <c r="D126" i="32"/>
  <c r="D23" i="33" s="1"/>
  <c r="D5" i="34"/>
  <c r="H118" i="32"/>
  <c r="G21" i="1" s="1"/>
  <c r="F5" i="11"/>
  <c r="D2" i="42"/>
  <c r="D4" i="33"/>
  <c r="J122" i="39"/>
  <c r="F125" i="32"/>
  <c r="F20" i="33"/>
  <c r="F21" i="33" s="1"/>
  <c r="E24" i="1" s="1"/>
  <c r="D80" i="35"/>
  <c r="K94" i="35"/>
  <c r="K96" i="35" s="1"/>
  <c r="M32" i="39"/>
  <c r="E58" i="26"/>
  <c r="G58" i="26" s="1"/>
  <c r="G57" i="26"/>
  <c r="G61" i="26" s="1"/>
  <c r="J59" i="39"/>
  <c r="K59" i="39" s="1"/>
  <c r="H5" i="34"/>
  <c r="P2" i="42"/>
  <c r="L5" i="35"/>
  <c r="I116" i="35" s="1"/>
  <c r="H5" i="11"/>
  <c r="F14" i="11"/>
  <c r="D28" i="22"/>
  <c r="I40" i="22" s="1"/>
  <c r="H3" i="26"/>
  <c r="G9" i="1"/>
  <c r="L5" i="39"/>
  <c r="I119" i="39" s="1"/>
  <c r="K70" i="39"/>
  <c r="F9" i="33"/>
  <c r="M41" i="39"/>
  <c r="F17" i="32"/>
  <c r="F126" i="32"/>
  <c r="G26" i="32"/>
  <c r="G110" i="32"/>
  <c r="G118" i="32"/>
  <c r="F21" i="1" s="1"/>
  <c r="G44" i="33"/>
  <c r="C20" i="11"/>
  <c r="C22" i="11"/>
  <c r="C21" i="11"/>
  <c r="M31" i="39"/>
  <c r="L30" i="39"/>
  <c r="M30" i="39" s="1"/>
  <c r="J30" i="35"/>
  <c r="K30" i="35" s="1"/>
  <c r="F73" i="11"/>
  <c r="F21" i="11"/>
  <c r="F20" i="11"/>
  <c r="F23" i="11"/>
  <c r="I81" i="39"/>
  <c r="I83" i="39" s="1"/>
  <c r="H121" i="39" s="1"/>
  <c r="F121" i="39" s="1"/>
  <c r="J69" i="39"/>
  <c r="K69" i="39" s="1"/>
  <c r="J37" i="35"/>
  <c r="K37" i="35" s="1"/>
  <c r="L37" i="35" s="1"/>
  <c r="M37" i="35" s="1"/>
  <c r="E21" i="42"/>
  <c r="H5" i="42" s="1"/>
  <c r="H18" i="42" s="1"/>
  <c r="H21" i="42" s="1"/>
  <c r="K5" i="42" s="1"/>
  <c r="K18" i="42" s="1"/>
  <c r="K21" i="42" s="1"/>
  <c r="N5" i="42" s="1"/>
  <c r="N18" i="42" s="1"/>
  <c r="N21" i="42" s="1"/>
  <c r="Q5" i="42" s="1"/>
  <c r="Q18" i="42" s="1"/>
  <c r="Q21" i="42" s="1"/>
  <c r="F18" i="42"/>
  <c r="C29" i="1"/>
  <c r="G41" i="42"/>
  <c r="F49" i="42"/>
  <c r="G42" i="42" s="1"/>
  <c r="F12" i="35"/>
  <c r="F32" i="35" s="1"/>
  <c r="K57" i="39"/>
  <c r="C9" i="1"/>
  <c r="C35" i="11"/>
  <c r="C34" i="11"/>
  <c r="E131" i="32"/>
  <c r="E52" i="42"/>
  <c r="E53" i="42" s="1"/>
  <c r="F97" i="39"/>
  <c r="K97" i="39"/>
  <c r="K99" i="39" s="1"/>
  <c r="F112" i="39"/>
  <c r="L56" i="39"/>
  <c r="M56" i="39" s="1"/>
  <c r="L48" i="39"/>
  <c r="M48" i="39" s="1"/>
  <c r="K122" i="39"/>
  <c r="L46" i="39"/>
  <c r="M46" i="39" s="1"/>
  <c r="L15" i="39"/>
  <c r="M15" i="39" s="1"/>
  <c r="L58" i="35"/>
  <c r="M58" i="35" s="1"/>
  <c r="L61" i="39"/>
  <c r="M61" i="39" s="1"/>
  <c r="F61" i="34"/>
  <c r="E40" i="1"/>
  <c r="E49" i="1" s="1"/>
  <c r="M64" i="39"/>
  <c r="L63" i="39"/>
  <c r="M63" i="39" s="1"/>
  <c r="G21" i="42"/>
  <c r="J54" i="39"/>
  <c r="K54" i="39" s="1"/>
  <c r="K42" i="35"/>
  <c r="M53" i="39"/>
  <c r="M42" i="39"/>
  <c r="M76" i="39"/>
  <c r="M24" i="39"/>
  <c r="L55" i="35"/>
  <c r="M55" i="35" s="1"/>
  <c r="M51" i="39"/>
  <c r="I51" i="42"/>
  <c r="J43" i="42"/>
  <c r="M21" i="39"/>
  <c r="E108" i="26"/>
  <c r="G108" i="26" s="1"/>
  <c r="G107" i="26"/>
  <c r="J45" i="39"/>
  <c r="K45" i="39" s="1"/>
  <c r="J49" i="39"/>
  <c r="K49" i="39" s="1"/>
  <c r="G5" i="34"/>
  <c r="G4" i="33"/>
  <c r="M2" i="42"/>
  <c r="J5" i="35"/>
  <c r="F116" i="35" s="1"/>
  <c r="C5" i="22"/>
  <c r="H18" i="22" s="1"/>
  <c r="F9" i="1"/>
  <c r="J5" i="39"/>
  <c r="F119" i="39" s="1"/>
  <c r="C14" i="11"/>
  <c r="G5" i="11"/>
  <c r="D22" i="42"/>
  <c r="F19" i="42"/>
  <c r="H51" i="42"/>
  <c r="F89" i="11"/>
  <c r="H61" i="34"/>
  <c r="D30" i="22"/>
  <c r="C67" i="11"/>
  <c r="C68" i="11"/>
  <c r="C71" i="11"/>
  <c r="C72" i="11"/>
  <c r="J47" i="39"/>
  <c r="K47" i="39" s="1"/>
  <c r="K52" i="39"/>
  <c r="M12" i="39"/>
  <c r="G33" i="26"/>
  <c r="K55" i="39"/>
  <c r="L53" i="35"/>
  <c r="M53" i="35" s="1"/>
  <c r="K66" i="39"/>
  <c r="J62" i="39"/>
  <c r="K62" i="39" s="1"/>
  <c r="K29" i="35"/>
  <c r="K46" i="35"/>
  <c r="J52" i="35"/>
  <c r="K52" i="35" s="1"/>
  <c r="K59" i="35"/>
  <c r="K68" i="35"/>
  <c r="F51" i="42"/>
  <c r="F44" i="42"/>
  <c r="F45" i="42" s="1"/>
  <c r="K19" i="39"/>
  <c r="K60" i="35"/>
  <c r="K66" i="35"/>
  <c r="J23" i="39"/>
  <c r="J35" i="39" s="1"/>
  <c r="J37" i="39" s="1"/>
  <c r="K78" i="39"/>
  <c r="I12" i="35"/>
  <c r="I32" i="35" s="1"/>
  <c r="K15" i="35"/>
  <c r="J50" i="35"/>
  <c r="K50" i="35" s="1"/>
  <c r="K61" i="35"/>
  <c r="J71" i="35"/>
  <c r="D84" i="39"/>
  <c r="F55" i="11"/>
  <c r="M112" i="35" l="1"/>
  <c r="I34" i="35"/>
  <c r="G118" i="35" s="1"/>
  <c r="K33" i="35"/>
  <c r="M33" i="35" s="1"/>
  <c r="M62" i="35"/>
  <c r="M48" i="35"/>
  <c r="M63" i="35"/>
  <c r="K38" i="35"/>
  <c r="L41" i="35"/>
  <c r="M41" i="35" s="1"/>
  <c r="L112" i="35"/>
  <c r="I80" i="35"/>
  <c r="H118" i="35" s="1"/>
  <c r="M12" i="35"/>
  <c r="H80" i="35"/>
  <c r="J119" i="35"/>
  <c r="L16" i="35"/>
  <c r="M16" i="35" s="1"/>
  <c r="M64" i="35"/>
  <c r="L51" i="35"/>
  <c r="M51" i="35" s="1"/>
  <c r="H119" i="35"/>
  <c r="K119" i="35"/>
  <c r="M56" i="35"/>
  <c r="M40" i="35"/>
  <c r="M54" i="35"/>
  <c r="D34" i="35"/>
  <c r="D21" i="1"/>
  <c r="D19" i="1"/>
  <c r="E19" i="1"/>
  <c r="F112" i="32"/>
  <c r="M31" i="35"/>
  <c r="G40" i="1"/>
  <c r="D7" i="22"/>
  <c r="H10" i="33"/>
  <c r="G30" i="1" s="1"/>
  <c r="G109" i="32"/>
  <c r="G130" i="32"/>
  <c r="D22" i="1"/>
  <c r="H47" i="33"/>
  <c r="G37" i="1" s="1"/>
  <c r="H7" i="26"/>
  <c r="F31" i="1"/>
  <c r="G117" i="32"/>
  <c r="H109" i="32"/>
  <c r="H117" i="32"/>
  <c r="C7" i="22"/>
  <c r="C30" i="22"/>
  <c r="G61" i="34"/>
  <c r="F40" i="1"/>
  <c r="C60" i="1"/>
  <c r="C58" i="1"/>
  <c r="C59" i="1"/>
  <c r="C55" i="1"/>
  <c r="C57" i="1"/>
  <c r="C56" i="1"/>
  <c r="J78" i="35"/>
  <c r="J80" i="35" s="1"/>
  <c r="H121" i="35" s="1"/>
  <c r="D40" i="1"/>
  <c r="D49" i="1" s="1"/>
  <c r="D61" i="34"/>
  <c r="D63" i="34"/>
  <c r="E61" i="34"/>
  <c r="C44" i="1"/>
  <c r="C46" i="1" s="1"/>
  <c r="C48" i="1" s="1"/>
  <c r="G36" i="26"/>
  <c r="G113" i="26" s="1"/>
  <c r="E115" i="26" s="1"/>
  <c r="F7" i="26"/>
  <c r="E7" i="26"/>
  <c r="D9" i="26"/>
  <c r="D7" i="26"/>
  <c r="E21" i="1"/>
  <c r="F117" i="32"/>
  <c r="C21" i="1"/>
  <c r="C19" i="1"/>
  <c r="D109" i="32"/>
  <c r="F19" i="1"/>
  <c r="C54" i="1" s="1"/>
  <c r="F109" i="32"/>
  <c r="C56" i="11"/>
  <c r="C24" i="11"/>
  <c r="C89" i="11"/>
  <c r="D112" i="32"/>
  <c r="E11" i="33"/>
  <c r="D20" i="1" s="1"/>
  <c r="E20" i="11"/>
  <c r="E21" i="11"/>
  <c r="D40" i="11"/>
  <c r="E40" i="11" s="1"/>
  <c r="D34" i="11"/>
  <c r="E34" i="11" s="1"/>
  <c r="D36" i="11"/>
  <c r="E36" i="11" s="1"/>
  <c r="D37" i="11"/>
  <c r="E37" i="11" s="1"/>
  <c r="D39" i="11"/>
  <c r="E39" i="11" s="1"/>
  <c r="D35" i="11"/>
  <c r="E35" i="11" s="1"/>
  <c r="D38" i="11"/>
  <c r="E38" i="11" s="1"/>
  <c r="H8" i="26"/>
  <c r="H138" i="32"/>
  <c r="D11" i="33"/>
  <c r="C20" i="1" s="1"/>
  <c r="E112" i="32"/>
  <c r="G23" i="33"/>
  <c r="D71" i="11"/>
  <c r="E71" i="11" s="1"/>
  <c r="D67" i="11"/>
  <c r="E67" i="11" s="1"/>
  <c r="D70" i="11"/>
  <c r="E70" i="11" s="1"/>
  <c r="D66" i="11"/>
  <c r="E66" i="11" s="1"/>
  <c r="D69" i="11"/>
  <c r="E69" i="11" s="1"/>
  <c r="D68" i="11"/>
  <c r="E68" i="11" s="1"/>
  <c r="D72" i="11"/>
  <c r="E72" i="11" s="1"/>
  <c r="D88" i="11"/>
  <c r="E88" i="11" s="1"/>
  <c r="D84" i="11"/>
  <c r="E84" i="11" s="1"/>
  <c r="D87" i="11"/>
  <c r="E87" i="11" s="1"/>
  <c r="D83" i="11"/>
  <c r="E83" i="11" s="1"/>
  <c r="D86" i="11"/>
  <c r="E86" i="11" s="1"/>
  <c r="D82" i="11"/>
  <c r="E82" i="11" s="1"/>
  <c r="D85" i="11"/>
  <c r="E85" i="11" s="1"/>
  <c r="F41" i="11"/>
  <c r="D53" i="11"/>
  <c r="E53" i="11" s="1"/>
  <c r="D52" i="11"/>
  <c r="E52" i="11" s="1"/>
  <c r="D55" i="11"/>
  <c r="E55" i="11" s="1"/>
  <c r="D51" i="11"/>
  <c r="E51" i="11" s="1"/>
  <c r="D54" i="11"/>
  <c r="E54" i="11" s="1"/>
  <c r="D50" i="11"/>
  <c r="E50" i="11" s="1"/>
  <c r="G20" i="11"/>
  <c r="H20" i="11" s="1"/>
  <c r="G23" i="11"/>
  <c r="H23" i="11" s="1"/>
  <c r="G22" i="11"/>
  <c r="H22" i="11" s="1"/>
  <c r="G21" i="11"/>
  <c r="H21" i="11" s="1"/>
  <c r="F8" i="26"/>
  <c r="E10" i="1"/>
  <c r="F17" i="33"/>
  <c r="E22" i="1" s="1"/>
  <c r="D17" i="33"/>
  <c r="C22" i="1" s="1"/>
  <c r="K71" i="35"/>
  <c r="E22" i="11"/>
  <c r="M67" i="35"/>
  <c r="D116" i="39"/>
  <c r="C41" i="11"/>
  <c r="E130" i="32"/>
  <c r="E132" i="32" s="1"/>
  <c r="D11" i="1" s="1"/>
  <c r="E120" i="32"/>
  <c r="D138" i="32"/>
  <c r="D8" i="26"/>
  <c r="K112" i="35"/>
  <c r="G119" i="35"/>
  <c r="G8" i="26"/>
  <c r="H23" i="33"/>
  <c r="H112" i="32"/>
  <c r="G138" i="32"/>
  <c r="G148" i="32" s="1"/>
  <c r="G149" i="32" s="1"/>
  <c r="H84" i="39"/>
  <c r="E44" i="1"/>
  <c r="G48" i="11"/>
  <c r="G80" i="11"/>
  <c r="G32" i="11"/>
  <c r="G64" i="11"/>
  <c r="H130" i="32"/>
  <c r="H132" i="32" s="1"/>
  <c r="G11" i="1" s="1"/>
  <c r="H17" i="33"/>
  <c r="G22" i="1" s="1"/>
  <c r="H120" i="32"/>
  <c r="D130" i="32"/>
  <c r="D132" i="32" s="1"/>
  <c r="C11" i="1" s="1"/>
  <c r="E23" i="33"/>
  <c r="E128" i="32"/>
  <c r="D128" i="32"/>
  <c r="L59" i="39"/>
  <c r="M59" i="39" s="1"/>
  <c r="L30" i="35"/>
  <c r="M30" i="35" s="1"/>
  <c r="F130" i="32"/>
  <c r="F132" i="32" s="1"/>
  <c r="E11" i="1" s="1"/>
  <c r="E20" i="1"/>
  <c r="I84" i="39"/>
  <c r="L57" i="39"/>
  <c r="M57" i="39" s="1"/>
  <c r="F21" i="42"/>
  <c r="G120" i="32"/>
  <c r="F128" i="32"/>
  <c r="F23" i="33"/>
  <c r="K115" i="39"/>
  <c r="G122" i="39"/>
  <c r="F122" i="39" s="1"/>
  <c r="E8" i="26"/>
  <c r="E138" i="32"/>
  <c r="D10" i="1"/>
  <c r="G49" i="42"/>
  <c r="G52" i="42" s="1"/>
  <c r="H41" i="42"/>
  <c r="G132" i="32"/>
  <c r="F11" i="1" s="1"/>
  <c r="F20" i="1"/>
  <c r="G112" i="32"/>
  <c r="L70" i="39"/>
  <c r="M70" i="39" s="1"/>
  <c r="L69" i="39"/>
  <c r="M69" i="39"/>
  <c r="I5" i="42"/>
  <c r="K23" i="39"/>
  <c r="K35" i="39" s="1"/>
  <c r="K37" i="39" s="1"/>
  <c r="J121" i="39" s="1"/>
  <c r="J32" i="35"/>
  <c r="J34" i="35" s="1"/>
  <c r="G121" i="35" s="1"/>
  <c r="I18" i="42"/>
  <c r="I122" i="39"/>
  <c r="F24" i="11"/>
  <c r="F91" i="11"/>
  <c r="F44" i="11"/>
  <c r="F27" i="11"/>
  <c r="F59" i="11"/>
  <c r="F76" i="11"/>
  <c r="G124" i="39"/>
  <c r="L47" i="39"/>
  <c r="M47" i="39" s="1"/>
  <c r="L54" i="39"/>
  <c r="M54" i="39" s="1"/>
  <c r="L61" i="35"/>
  <c r="M61" i="35" s="1"/>
  <c r="G44" i="42"/>
  <c r="G45" i="42" s="1"/>
  <c r="F52" i="42"/>
  <c r="L29" i="35"/>
  <c r="M29" i="35" s="1"/>
  <c r="L68" i="35"/>
  <c r="M68" i="35" s="1"/>
  <c r="H44" i="42"/>
  <c r="C73" i="11"/>
  <c r="L42" i="35"/>
  <c r="M42" i="35" s="1"/>
  <c r="I21" i="42"/>
  <c r="J5" i="42"/>
  <c r="F56" i="11"/>
  <c r="L78" i="39"/>
  <c r="M78" i="39"/>
  <c r="L60" i="35"/>
  <c r="M60" i="35" s="1"/>
  <c r="L52" i="35"/>
  <c r="M52" i="35" s="1"/>
  <c r="G6" i="42"/>
  <c r="F22" i="42"/>
  <c r="L49" i="39"/>
  <c r="M49" i="39"/>
  <c r="L15" i="35"/>
  <c r="M15" i="35" s="1"/>
  <c r="K32" i="35"/>
  <c r="L19" i="39"/>
  <c r="M19" i="39" s="1"/>
  <c r="M35" i="39" s="1"/>
  <c r="M37" i="39" s="1"/>
  <c r="L50" i="35"/>
  <c r="M50" i="35" s="1"/>
  <c r="L66" i="39"/>
  <c r="M66" i="39"/>
  <c r="L55" i="39"/>
  <c r="M55" i="39" s="1"/>
  <c r="L52" i="39"/>
  <c r="M52" i="39"/>
  <c r="F148" i="32"/>
  <c r="L45" i="39"/>
  <c r="M45" i="39" s="1"/>
  <c r="I44" i="42"/>
  <c r="L59" i="35"/>
  <c r="M59" i="35" s="1"/>
  <c r="L66" i="35"/>
  <c r="M66" i="35" s="1"/>
  <c r="F53" i="42"/>
  <c r="L46" i="35"/>
  <c r="M46" i="35" s="1"/>
  <c r="L23" i="39"/>
  <c r="M23" i="39" s="1"/>
  <c r="L62" i="39"/>
  <c r="M62" i="39" s="1"/>
  <c r="C59" i="11"/>
  <c r="C76" i="11"/>
  <c r="C27" i="11"/>
  <c r="C44" i="11"/>
  <c r="C91" i="11"/>
  <c r="J81" i="39"/>
  <c r="J83" i="39" s="1"/>
  <c r="H124" i="39" s="1"/>
  <c r="H126" i="39" s="1"/>
  <c r="H127" i="39" s="1"/>
  <c r="H129" i="39" s="1"/>
  <c r="J44" i="42"/>
  <c r="K43" i="42"/>
  <c r="J51" i="42"/>
  <c r="K81" i="39"/>
  <c r="K83" i="39" s="1"/>
  <c r="K121" i="39" s="1"/>
  <c r="L71" i="35" l="1"/>
  <c r="K34" i="35"/>
  <c r="H34" i="35"/>
  <c r="H81" i="35" s="1"/>
  <c r="H123" i="35"/>
  <c r="C14" i="22" s="1"/>
  <c r="L38" i="35"/>
  <c r="M38" i="35" s="1"/>
  <c r="D81" i="35"/>
  <c r="D113" i="35" s="1"/>
  <c r="K78" i="35"/>
  <c r="K80" i="35" s="1"/>
  <c r="K118" i="35" s="1"/>
  <c r="I81" i="35"/>
  <c r="I119" i="35"/>
  <c r="M71" i="35"/>
  <c r="F119" i="35"/>
  <c r="H11" i="33"/>
  <c r="G20" i="1" s="1"/>
  <c r="E17" i="1"/>
  <c r="F151" i="32"/>
  <c r="H25" i="33"/>
  <c r="G25" i="33"/>
  <c r="F22" i="1"/>
  <c r="J81" i="35"/>
  <c r="J113" i="35" s="1"/>
  <c r="F121" i="35"/>
  <c r="M8" i="42" s="1"/>
  <c r="D44" i="1"/>
  <c r="D46" i="1" s="1"/>
  <c r="D48" i="1" s="1"/>
  <c r="E46" i="1"/>
  <c r="E48" i="1" s="1"/>
  <c r="C47" i="1"/>
  <c r="F149" i="32"/>
  <c r="E16" i="1" s="1"/>
  <c r="E24" i="11"/>
  <c r="H148" i="32"/>
  <c r="H149" i="32" s="1"/>
  <c r="G16" i="1" s="1"/>
  <c r="G38" i="11"/>
  <c r="H38" i="11" s="1"/>
  <c r="G36" i="11"/>
  <c r="H36" i="11" s="1"/>
  <c r="G39" i="11"/>
  <c r="H39" i="11" s="1"/>
  <c r="G35" i="11"/>
  <c r="H35" i="11" s="1"/>
  <c r="G37" i="11"/>
  <c r="H37" i="11" s="1"/>
  <c r="G34" i="11"/>
  <c r="H34" i="11" s="1"/>
  <c r="G40" i="11"/>
  <c r="H40" i="11" s="1"/>
  <c r="G52" i="11"/>
  <c r="H52" i="11" s="1"/>
  <c r="G55" i="11"/>
  <c r="H55" i="11" s="1"/>
  <c r="G51" i="11"/>
  <c r="H51" i="11" s="1"/>
  <c r="G54" i="11"/>
  <c r="H54" i="11" s="1"/>
  <c r="G50" i="11"/>
  <c r="H50" i="11" s="1"/>
  <c r="G53" i="11"/>
  <c r="H53" i="11" s="1"/>
  <c r="G87" i="11"/>
  <c r="H87" i="11" s="1"/>
  <c r="G83" i="11"/>
  <c r="H83" i="11" s="1"/>
  <c r="G86" i="11"/>
  <c r="H86" i="11" s="1"/>
  <c r="G82" i="11"/>
  <c r="H82" i="11" s="1"/>
  <c r="G88" i="11"/>
  <c r="H88" i="11" s="1"/>
  <c r="G84" i="11"/>
  <c r="H84" i="11" s="1"/>
  <c r="G85" i="11"/>
  <c r="H85" i="11" s="1"/>
  <c r="G70" i="11"/>
  <c r="H70" i="11" s="1"/>
  <c r="G66" i="11"/>
  <c r="H66" i="11" s="1"/>
  <c r="G69" i="11"/>
  <c r="H69" i="11" s="1"/>
  <c r="G71" i="11"/>
  <c r="H71" i="11" s="1"/>
  <c r="G68" i="11"/>
  <c r="H68" i="11" s="1"/>
  <c r="G72" i="11"/>
  <c r="H72" i="11" s="1"/>
  <c r="G67" i="11"/>
  <c r="H67" i="11" s="1"/>
  <c r="E41" i="11"/>
  <c r="G53" i="42"/>
  <c r="H24" i="11"/>
  <c r="M81" i="39"/>
  <c r="M83" i="39" s="1"/>
  <c r="E89" i="11"/>
  <c r="D148" i="32"/>
  <c r="E56" i="11"/>
  <c r="E73" i="11"/>
  <c r="I41" i="42"/>
  <c r="H49" i="42"/>
  <c r="H52" i="42" s="1"/>
  <c r="E148" i="32"/>
  <c r="H42" i="42"/>
  <c r="I42" i="42" s="1"/>
  <c r="I45" i="42" s="1"/>
  <c r="M84" i="39"/>
  <c r="M116" i="39" s="1"/>
  <c r="L35" i="39"/>
  <c r="L37" i="39" s="1"/>
  <c r="L43" i="42"/>
  <c r="K44" i="42"/>
  <c r="K51" i="42"/>
  <c r="F118" i="35"/>
  <c r="L81" i="39"/>
  <c r="L83" i="39" s="1"/>
  <c r="K124" i="39" s="1"/>
  <c r="I121" i="39"/>
  <c r="L32" i="35"/>
  <c r="L34" i="35" s="1"/>
  <c r="F124" i="39"/>
  <c r="G126" i="39"/>
  <c r="K126" i="39"/>
  <c r="K127" i="39" s="1"/>
  <c r="K129" i="39" s="1"/>
  <c r="H130" i="39"/>
  <c r="K84" i="39"/>
  <c r="K116" i="39" s="1"/>
  <c r="G19" i="42"/>
  <c r="I6" i="42"/>
  <c r="L5" i="42"/>
  <c r="J18" i="42"/>
  <c r="J84" i="39"/>
  <c r="J116" i="39" s="1"/>
  <c r="J118" i="35" l="1"/>
  <c r="M32" i="35"/>
  <c r="M34" i="35" s="1"/>
  <c r="K81" i="35"/>
  <c r="K113" i="35" s="1"/>
  <c r="L78" i="35"/>
  <c r="L80" i="35" s="1"/>
  <c r="K121" i="35" s="1"/>
  <c r="K123" i="35" s="1"/>
  <c r="D14" i="22" s="1"/>
  <c r="M78" i="35"/>
  <c r="M80" i="35" s="1"/>
  <c r="C17" i="1"/>
  <c r="D151" i="32"/>
  <c r="D17" i="1"/>
  <c r="E151" i="32"/>
  <c r="G17" i="1"/>
  <c r="H151" i="32"/>
  <c r="F17" i="1"/>
  <c r="G151" i="32"/>
  <c r="F16" i="1"/>
  <c r="G123" i="35"/>
  <c r="C13" i="22" s="1"/>
  <c r="C9" i="22"/>
  <c r="O8" i="42"/>
  <c r="E47" i="1"/>
  <c r="D47" i="1"/>
  <c r="E149" i="32"/>
  <c r="D16" i="1" s="1"/>
  <c r="D149" i="32"/>
  <c r="C16" i="1" s="1"/>
  <c r="H56" i="11"/>
  <c r="G6" i="11"/>
  <c r="G8" i="11" s="1"/>
  <c r="G50" i="33" s="1"/>
  <c r="G75" i="33" s="1"/>
  <c r="C6" i="22" s="1"/>
  <c r="C92" i="11"/>
  <c r="H73" i="11"/>
  <c r="H41" i="11"/>
  <c r="H89" i="11"/>
  <c r="H45" i="42"/>
  <c r="H53" i="42" s="1"/>
  <c r="I49" i="42"/>
  <c r="J41" i="42"/>
  <c r="F126" i="39"/>
  <c r="F127" i="39" s="1"/>
  <c r="F128" i="39" s="1"/>
  <c r="G127" i="39"/>
  <c r="G129" i="39" s="1"/>
  <c r="M43" i="42"/>
  <c r="L44" i="42"/>
  <c r="L51" i="42"/>
  <c r="I19" i="42"/>
  <c r="G22" i="42"/>
  <c r="J121" i="35"/>
  <c r="K130" i="39"/>
  <c r="J21" i="42"/>
  <c r="L18" i="42"/>
  <c r="L84" i="39"/>
  <c r="L116" i="39" s="1"/>
  <c r="J124" i="39"/>
  <c r="I118" i="35" l="1"/>
  <c r="L81" i="35"/>
  <c r="L113" i="35" s="1"/>
  <c r="I121" i="35"/>
  <c r="P8" i="42" s="1"/>
  <c r="M81" i="35"/>
  <c r="M113" i="35" s="1"/>
  <c r="C11" i="22"/>
  <c r="C15" i="22" s="1"/>
  <c r="F123" i="35"/>
  <c r="F38" i="1"/>
  <c r="F29" i="1" s="1"/>
  <c r="C29" i="22"/>
  <c r="H6" i="11"/>
  <c r="H8" i="11" s="1"/>
  <c r="H50" i="33" s="1"/>
  <c r="H75" i="33" s="1"/>
  <c r="D6" i="22" s="1"/>
  <c r="F92" i="11"/>
  <c r="K41" i="42"/>
  <c r="J49" i="42"/>
  <c r="J52" i="42" s="1"/>
  <c r="I52" i="42"/>
  <c r="I53" i="42" s="1"/>
  <c r="J42" i="42"/>
  <c r="J6" i="42"/>
  <c r="I22" i="42"/>
  <c r="F129" i="39"/>
  <c r="F130" i="39" s="1"/>
  <c r="G130" i="39"/>
  <c r="I124" i="39"/>
  <c r="J126" i="39"/>
  <c r="M5" i="42"/>
  <c r="L21" i="42"/>
  <c r="J123" i="35"/>
  <c r="N43" i="42"/>
  <c r="M44" i="42"/>
  <c r="M51" i="42"/>
  <c r="D9" i="22" l="1"/>
  <c r="R8" i="42"/>
  <c r="C19" i="22"/>
  <c r="C16" i="22"/>
  <c r="G38" i="1"/>
  <c r="G29" i="1" s="1"/>
  <c r="K42" i="42"/>
  <c r="J45" i="42"/>
  <c r="J53" i="42" s="1"/>
  <c r="L41" i="42"/>
  <c r="K49" i="42"/>
  <c r="K52" i="42" s="1"/>
  <c r="J127" i="39"/>
  <c r="J129" i="39" s="1"/>
  <c r="I126" i="39"/>
  <c r="I127" i="39" s="1"/>
  <c r="I128" i="39" s="1"/>
  <c r="D29" i="22"/>
  <c r="L6" i="42"/>
  <c r="J19" i="42"/>
  <c r="D13" i="22"/>
  <c r="I123" i="35"/>
  <c r="M18" i="42"/>
  <c r="O5" i="42"/>
  <c r="N44" i="42"/>
  <c r="N51" i="42"/>
  <c r="O43" i="42"/>
  <c r="C8" i="22"/>
  <c r="F41" i="1"/>
  <c r="C31" i="22"/>
  <c r="D11" i="22" l="1"/>
  <c r="H19" i="22"/>
  <c r="L42" i="42"/>
  <c r="K45" i="42"/>
  <c r="K53" i="42" s="1"/>
  <c r="M41" i="42"/>
  <c r="L49" i="42"/>
  <c r="L52" i="42" s="1"/>
  <c r="O51" i="42"/>
  <c r="O44" i="42"/>
  <c r="P43" i="42"/>
  <c r="I129" i="39"/>
  <c r="I130" i="39" s="1"/>
  <c r="J130" i="39"/>
  <c r="O18" i="42"/>
  <c r="M21" i="42"/>
  <c r="L19" i="42"/>
  <c r="J22" i="42"/>
  <c r="N41" i="42" l="1"/>
  <c r="M49" i="42"/>
  <c r="M52" i="42" s="1"/>
  <c r="L45" i="42"/>
  <c r="L53" i="42" s="1"/>
  <c r="M42" i="42"/>
  <c r="L22" i="42"/>
  <c r="M6" i="42"/>
  <c r="G41" i="1"/>
  <c r="D8" i="22"/>
  <c r="D15" i="22" s="1"/>
  <c r="D19" i="22" s="1"/>
  <c r="D31" i="22"/>
  <c r="Q43" i="42"/>
  <c r="P44" i="42"/>
  <c r="P51" i="42"/>
  <c r="O21" i="42"/>
  <c r="P5" i="42"/>
  <c r="M45" i="42" l="1"/>
  <c r="M53" i="42" s="1"/>
  <c r="N42" i="42"/>
  <c r="N49" i="42"/>
  <c r="N52" i="42" s="1"/>
  <c r="O41" i="42"/>
  <c r="I19" i="22"/>
  <c r="D16" i="22"/>
  <c r="Q51" i="42"/>
  <c r="Q44" i="42"/>
  <c r="R43" i="42"/>
  <c r="O6" i="42"/>
  <c r="M19" i="42"/>
  <c r="R5" i="42"/>
  <c r="P18" i="42"/>
  <c r="O42" i="42" l="1"/>
  <c r="N45" i="42"/>
  <c r="N53" i="42" s="1"/>
  <c r="O49" i="42"/>
  <c r="O52" i="42" s="1"/>
  <c r="P41" i="42"/>
  <c r="S43" i="42"/>
  <c r="R51" i="42"/>
  <c r="R44" i="42"/>
  <c r="P21" i="42"/>
  <c r="R21" i="42" s="1"/>
  <c r="R18" i="42"/>
  <c r="M22" i="42"/>
  <c r="O19" i="42"/>
  <c r="Q41" i="42" l="1"/>
  <c r="P49" i="42"/>
  <c r="P52" i="42" s="1"/>
  <c r="O45" i="42"/>
  <c r="O53" i="42" s="1"/>
  <c r="P42" i="42"/>
  <c r="S51" i="42"/>
  <c r="S44" i="42"/>
  <c r="P6" i="42"/>
  <c r="O22" i="42"/>
  <c r="P45" i="42" l="1"/>
  <c r="Q42" i="42"/>
  <c r="F42" i="1"/>
  <c r="C32" i="22"/>
  <c r="C34" i="22" s="1"/>
  <c r="C38" i="22" s="1"/>
  <c r="F43" i="1"/>
  <c r="Q49" i="42"/>
  <c r="Q52" i="42" s="1"/>
  <c r="R41" i="42"/>
  <c r="R6" i="42"/>
  <c r="P19" i="42"/>
  <c r="F49" i="1" l="1"/>
  <c r="F44" i="1"/>
  <c r="S41" i="42"/>
  <c r="S49" i="42" s="1"/>
  <c r="S52" i="42" s="1"/>
  <c r="R49" i="42"/>
  <c r="R52" i="42" s="1"/>
  <c r="R42" i="42"/>
  <c r="Q45" i="42"/>
  <c r="D32" i="22"/>
  <c r="D34" i="22" s="1"/>
  <c r="D38" i="22" s="1"/>
  <c r="G42" i="1"/>
  <c r="G43" i="1"/>
  <c r="P53" i="42"/>
  <c r="C37" i="22" s="1"/>
  <c r="C36" i="22"/>
  <c r="R19" i="42"/>
  <c r="P22" i="42"/>
  <c r="R22" i="42" s="1"/>
  <c r="F46" i="1" l="1"/>
  <c r="F48" i="1" s="1"/>
  <c r="G49" i="1"/>
  <c r="C53" i="1" s="1"/>
  <c r="C39" i="22"/>
  <c r="C41" i="22" s="1"/>
  <c r="H41" i="22" s="1"/>
  <c r="G44" i="1"/>
  <c r="G46" i="1" s="1"/>
  <c r="R45" i="42"/>
  <c r="R53" i="42" s="1"/>
  <c r="S42" i="42"/>
  <c r="S45" i="42" s="1"/>
  <c r="S53" i="42" s="1"/>
  <c r="Q53" i="42"/>
  <c r="D37" i="22" s="1"/>
  <c r="D36" i="22"/>
  <c r="D39" i="22" s="1"/>
  <c r="D41" i="22" s="1"/>
  <c r="I41" i="22" s="1"/>
  <c r="A67" i="1" l="1"/>
  <c r="F47" i="1"/>
  <c r="G48" i="1"/>
  <c r="G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Egert Luukas</author>
  </authors>
  <commentList>
    <comment ref="B11" authorId="0" shapeId="0" xr:uid="{00000000-0006-0000-0100-000001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13" authorId="0" shapeId="0" xr:uid="{B1A77194-C132-436A-BE40-F00E48727D5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20" authorId="0" shapeId="0" xr:uid="{0D01F5B7-F470-459F-8B72-5A1F05AE77DD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22" authorId="0" shapeId="0" xr:uid="{EC1B9D2D-1D84-4091-BCD2-55F756F8444D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29" authorId="0" shapeId="0" xr:uid="{44A7EAEC-62CB-4D3C-9C47-DA8256A6E37F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31" authorId="0" shapeId="0" xr:uid="{EC4B191E-924E-4CAC-BBE7-20E5B6109789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38" authorId="0" shapeId="0" xr:uid="{03C37ACA-ED38-4BAE-8899-754DE3B6B75D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40" authorId="0" shapeId="0" xr:uid="{CE04F6D6-95CF-41F0-88C4-74A06A949397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48" authorId="0" shapeId="0" xr:uid="{D8A478BE-3C3A-4BFA-A850-EAB6C50E9574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50" authorId="0" shapeId="0" xr:uid="{581463A6-59BB-4276-9878-78FBC2455B4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57" authorId="0" shapeId="0" xr:uid="{51180ECB-6705-412C-9222-84AD4E35EC22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59" authorId="0" shapeId="0" xr:uid="{BA59ADDC-D711-420A-B4A5-AF043D81CC11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67" authorId="0" shapeId="0" xr:uid="{D82DA13B-C92A-4CCD-A095-7DFBFA0D74C2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69" authorId="0" shapeId="0" xr:uid="{00000000-0006-0000-0100-00000E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76" authorId="0" shapeId="0" xr:uid="{29BB621A-73AA-4A79-92C7-7DF5FFB7BD21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78" authorId="0" shapeId="0" xr:uid="{00000000-0006-0000-0100-000010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86" authorId="0" shapeId="0" xr:uid="{7BC385B3-C7CB-4ED8-8ECB-ABB0EF3F8A84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88" authorId="0" shapeId="0" xr:uid="{00000000-0006-0000-0100-000012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95" authorId="0" shapeId="0" xr:uid="{F5331154-FFF2-4C12-84E9-6DE767A00312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97" authorId="0" shapeId="0" xr:uid="{00000000-0006-0000-0100-000014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107" authorId="0" shapeId="0" xr:uid="{00000000-0006-0000-0100-000015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108" authorId="0" shapeId="0" xr:uid="{71C90955-60E6-4A36-8399-3DBF36A004FD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115" authorId="0" shapeId="0" xr:uid="{00000000-0006-0000-0100-000017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116" authorId="0" shapeId="0" xr:uid="{E9B2B4AE-E3EE-4DBC-8C8A-17F9CAE0FD4A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123" authorId="0" shapeId="0" xr:uid="{00000000-0006-0000-0100-000019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124" authorId="0" shapeId="0" xr:uid="{86DAA3D3-BC4A-48FD-B969-FDA2FBF390AD}">
      <text>
        <r>
          <rPr>
            <b/>
            <u/>
            <sz val="10"/>
            <color indexed="81"/>
            <rFont val="Times New Roman"/>
            <family val="1"/>
            <charset val="186"/>
          </rPr>
          <t>Naturaalühikutes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: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Egert Luukas</author>
  </authors>
  <commentList>
    <comment ref="B7" authorId="0" shapeId="0" xr:uid="{00000000-0006-0000-0400-000001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8" authorId="0" shapeId="0" xr:uid="{00000000-0006-0000-0400-000002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Näiteks: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13" authorId="0" shapeId="0" xr:uid="{00000000-0006-0000-0400-000003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14" authorId="0" shapeId="0" xr:uid="{00000000-0006-0000-0400-000004000000}">
      <text>
        <r>
          <rPr>
            <b/>
            <u/>
            <sz val="9"/>
            <color indexed="81"/>
            <rFont val="Times New Roman"/>
            <family val="1"/>
            <charset val="186"/>
          </rPr>
          <t>Näiteks:</t>
        </r>
        <r>
          <rPr>
            <b/>
            <sz val="9"/>
            <color indexed="81"/>
            <rFont val="Times New Roman"/>
            <family val="1"/>
            <charset val="186"/>
          </rPr>
          <t xml:space="preserve"> </t>
        </r>
        <r>
          <rPr>
            <sz val="9"/>
            <color indexed="81"/>
            <rFont val="Times New Roman"/>
            <family val="1"/>
            <charset val="186"/>
          </rPr>
          <t>tuh m3 (gaas); tonn (põlevkiviõli); pm3 (puiduhake), jne.</t>
        </r>
      </text>
    </comment>
    <comment ref="B19" authorId="0" shapeId="0" xr:uid="{00000000-0006-0000-0400-000005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Näide: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gaas, põlevkiviõli, puiduhake, jne.</t>
        </r>
      </text>
    </comment>
    <comment ref="C20" authorId="0" shapeId="0" xr:uid="{00000000-0006-0000-0400-000006000000}">
      <text>
        <r>
          <rPr>
            <b/>
            <u/>
            <sz val="10"/>
            <color indexed="81"/>
            <rFont val="Times New Roman"/>
            <family val="1"/>
            <charset val="186"/>
          </rPr>
          <t>Näiteks:</t>
        </r>
        <r>
          <rPr>
            <b/>
            <sz val="10"/>
            <color indexed="81"/>
            <rFont val="Times New Roman"/>
            <family val="1"/>
            <charset val="186"/>
          </rPr>
          <t xml:space="preserve"> </t>
        </r>
        <r>
          <rPr>
            <sz val="10"/>
            <color indexed="81"/>
            <rFont val="Times New Roman"/>
            <family val="1"/>
            <charset val="186"/>
          </rPr>
          <t>tuh m3 (gaas); tonn (põlevkiviõli); pm3 (puiduhake), jne.</t>
        </r>
        <r>
          <rPr>
            <b/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Terje</author>
  </authors>
  <commentList>
    <comment ref="F3" authorId="0" shapeId="0" xr:uid="{00000000-0006-0000-0600-000001000000}">
      <text>
        <r>
          <rPr>
            <sz val="10"/>
            <color indexed="81"/>
            <rFont val="Times New Roman"/>
            <family val="1"/>
            <charset val="186"/>
          </rPr>
          <t xml:space="preserve">vara soetusmaksumus, millest on maha arvatud vara soetamiseks saadud tagastamatu abi summa (sh sihtfinantseerimine) ja liitumistasud
</t>
        </r>
      </text>
    </comment>
    <comment ref="H5" authorId="0" shapeId="0" xr:uid="{00000000-0006-0000-0600-000002000000}">
      <text>
        <r>
          <rPr>
            <sz val="10"/>
            <color indexed="81"/>
            <rFont val="Times New Roman"/>
            <family val="1"/>
            <charset val="186"/>
          </rPr>
          <t>Viimase lõppenud majandusaasta lõpu seis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33" authorId="0" shapeId="0" xr:uid="{00000000-0006-0000-0600-000003000000}">
      <text>
        <r>
          <rPr>
            <sz val="10"/>
            <color indexed="81"/>
            <rFont val="Times New Roman"/>
            <family val="1"/>
            <charset val="186"/>
          </rPr>
          <t>Ei arvestata reguleeritava vara hulka</t>
        </r>
      </text>
    </comment>
    <comment ref="B34" authorId="0" shapeId="0" xr:uid="{00000000-0006-0000-0600-000004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79" authorId="0" shapeId="0" xr:uid="{00000000-0006-0000-0600-000005000000}">
      <text>
        <r>
          <rPr>
            <sz val="10"/>
            <color indexed="81"/>
            <rFont val="Times New Roman"/>
            <family val="1"/>
            <charset val="186"/>
          </rPr>
          <t>Ei arvestata reguleeritava vara hulka</t>
        </r>
      </text>
    </comment>
    <comment ref="B80" authorId="0" shapeId="0" xr:uid="{00000000-0006-0000-0600-000006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81" authorId="0" shapeId="0" xr:uid="{00000000-0006-0000-0600-000007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84" authorId="0" shapeId="0" xr:uid="{00000000-0006-0000-0600-000008000000}">
      <text>
        <r>
          <rPr>
            <sz val="9"/>
            <color indexed="81"/>
            <rFont val="Tahoma"/>
            <family val="2"/>
            <charset val="186"/>
          </rPr>
          <t xml:space="preserve">Majandusaasta, millal planeeritakse investeering teostada  (Näiteks. 2013/2014)
</t>
        </r>
      </text>
    </comment>
    <comment ref="B95" authorId="0" shapeId="0" xr:uid="{00000000-0006-0000-0600-000009000000}">
      <text>
        <r>
          <rPr>
            <sz val="10"/>
            <color indexed="81"/>
            <rFont val="Times New Roman"/>
            <family val="1"/>
            <charset val="186"/>
          </rPr>
          <t xml:space="preserve">Ei arvestata reguleeritava vara hulka
</t>
        </r>
      </text>
    </comment>
    <comment ref="B96" authorId="0" shapeId="0" xr:uid="{00000000-0006-0000-0600-00000A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  <comment ref="B110" authorId="0" shapeId="0" xr:uid="{00000000-0006-0000-0600-00000B000000}">
      <text>
        <r>
          <rPr>
            <sz val="10"/>
            <color indexed="81"/>
            <rFont val="Times New Roman"/>
            <family val="1"/>
            <charset val="186"/>
          </rPr>
          <t xml:space="preserve">Ei arvestata reguleeritava vara hulka
</t>
        </r>
      </text>
    </comment>
    <comment ref="B111" authorId="0" shapeId="0" xr:uid="{00000000-0006-0000-0600-00000C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  <comment ref="B112" authorId="0" shapeId="0" xr:uid="{00000000-0006-0000-0600-00000D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Riina Randmaa</author>
    <author>Teele</author>
    <author>riina.randmaa</author>
  </authors>
  <commentList>
    <comment ref="D3" authorId="0" shapeId="0" xr:uid="{00000000-0006-0000-0700-000001000000}">
      <text>
        <r>
          <rPr>
            <sz val="8"/>
            <color indexed="81"/>
            <rFont val="Tahoma"/>
            <family val="2"/>
            <charset val="186"/>
          </rPr>
          <t xml:space="preserve">majandustegevus, mille suhtes KA rakendab kas ex-ante või ex-post regulatsiooni.
</t>
        </r>
      </text>
    </comment>
    <comment ref="G3" authorId="0" shapeId="0" xr:uid="{00000000-0006-0000-0700-000002000000}">
      <text>
        <r>
          <rPr>
            <sz val="8"/>
            <color indexed="81"/>
            <rFont val="Tahoma"/>
            <family val="2"/>
            <charset val="186"/>
          </rPr>
          <t xml:space="preserve">majandustegevus, mille suhtes KA rakendab kas ex-ante või ex-post regulatsiooni.
</t>
        </r>
      </text>
    </comment>
    <comment ref="J3" authorId="0" shapeId="0" xr:uid="{00000000-0006-0000-0700-000003000000}">
      <text>
        <r>
          <rPr>
            <sz val="8"/>
            <color indexed="81"/>
            <rFont val="Tahoma"/>
            <family val="2"/>
            <charset val="186"/>
          </rPr>
          <t xml:space="preserve">majandustegevus, mille suhtes KA rakendab kas ex-ante või ex-post regulatsiooni.
</t>
        </r>
      </text>
    </comment>
    <comment ref="M3" authorId="0" shapeId="0" xr:uid="{00000000-0006-0000-0700-000004000000}">
      <text>
        <r>
          <rPr>
            <sz val="8"/>
            <color indexed="81"/>
            <rFont val="Tahoma"/>
            <family val="2"/>
            <charset val="186"/>
          </rPr>
          <t xml:space="preserve">majandustegevus, mille suhtes KA rakendab kas ex-ante või ex-post regulatsiooni.
</t>
        </r>
      </text>
    </comment>
    <comment ref="P3" authorId="0" shapeId="0" xr:uid="{00000000-0006-0000-0700-000005000000}">
      <text>
        <r>
          <rPr>
            <sz val="8"/>
            <color indexed="81"/>
            <rFont val="Tahoma"/>
            <family val="2"/>
            <charset val="186"/>
          </rPr>
          <t xml:space="preserve">majandustegevus, mille suhtes KA rakendab kas ex-ante või ex-post regulatsiooni.
</t>
        </r>
      </text>
    </comment>
    <comment ref="G5" authorId="1" shapeId="0" xr:uid="{00000000-0006-0000-0700-000006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H5" authorId="1" shapeId="0" xr:uid="{00000000-0006-0000-0700-000007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J5" authorId="1" shapeId="0" xr:uid="{00000000-0006-0000-0700-000008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K5" authorId="1" shapeId="0" xr:uid="{00000000-0006-0000-0700-000009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M5" authorId="1" shapeId="0" xr:uid="{00000000-0006-0000-0700-00000A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N5" authorId="1" shapeId="0" xr:uid="{00000000-0006-0000-0700-00000B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P5" authorId="1" shapeId="0" xr:uid="{00000000-0006-0000-0700-00000C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Q5" authorId="1" shapeId="0" xr:uid="{00000000-0006-0000-0700-00000D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soetusväärtuste erinevuse korral sisestada valemi asemel sobiv arv ning kommenteerida erinevuse põhjust lehekülje allosas.
Algse valemi taastamiseks tühjendage lahter.</t>
        </r>
      </text>
    </comment>
    <comment ref="G6" authorId="1" shapeId="0" xr:uid="{00000000-0006-0000-0700-00000E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H6" authorId="1" shapeId="0" xr:uid="{00000000-0006-0000-0700-00000F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J6" authorId="1" shapeId="0" xr:uid="{00000000-0006-0000-0700-000010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K6" authorId="1" shapeId="0" xr:uid="{00000000-0006-0000-0700-000011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M6" authorId="1" shapeId="0" xr:uid="{00000000-0006-0000-0700-000012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N6" authorId="1" shapeId="0" xr:uid="{00000000-0006-0000-0700-000013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P6" authorId="1" shapeId="0" xr:uid="{00000000-0006-0000-0700-000014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Q6" authorId="1" shapeId="0" xr:uid="{00000000-0006-0000-0700-000015000000}">
      <text>
        <r>
          <rPr>
            <b/>
            <sz val="8"/>
            <color indexed="81"/>
            <rFont val="Tahoma"/>
            <family val="2"/>
            <charset val="186"/>
          </rPr>
          <t>Arvutatakse automaatselt. Aasta lõpu ja alguse põhivara jääkväärtuste erinevuse korral sisestada valemi asemel sobiv arv ning kommenteerida erinevuse põhjust lehekülje allosas.
Algse valemi taastamiseks tühjendage lahter.</t>
        </r>
      </text>
    </comment>
    <comment ref="N8" authorId="1" shapeId="0" xr:uid="{00000000-0006-0000-0700-000016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Q8" authorId="1" shapeId="0" xr:uid="{00000000-0006-0000-0700-000017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D18" authorId="1" shapeId="0" xr:uid="{00000000-0006-0000-0700-000018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E18" authorId="1" shapeId="0" xr:uid="{00000000-0006-0000-0700-000019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G18" authorId="1" shapeId="0" xr:uid="{00000000-0006-0000-0700-00001A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H18" authorId="1" shapeId="0" xr:uid="{00000000-0006-0000-0700-00001B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J18" authorId="1" shapeId="0" xr:uid="{00000000-0006-0000-0700-00001C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K18" authorId="1" shapeId="0" xr:uid="{00000000-0006-0000-0700-00001D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M18" authorId="1" shapeId="0" xr:uid="{00000000-0006-0000-0700-00001E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N18" authorId="1" shapeId="0" xr:uid="{00000000-0006-0000-0700-00001F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P18" authorId="1" shapeId="0" xr:uid="{00000000-0006-0000-0700-000020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Q18" authorId="1" shapeId="0" xr:uid="{00000000-0006-0000-0700-000021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D19" authorId="1" shapeId="0" xr:uid="{00000000-0006-0000-0700-000022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E19" authorId="1" shapeId="0" xr:uid="{00000000-0006-0000-0700-000023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G19" authorId="1" shapeId="0" xr:uid="{00000000-0006-0000-0700-000024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H19" authorId="1" shapeId="0" xr:uid="{00000000-0006-0000-0700-000025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J19" authorId="1" shapeId="0" xr:uid="{00000000-0006-0000-0700-000026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K19" authorId="1" shapeId="0" xr:uid="{00000000-0006-0000-0700-000027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M19" authorId="1" shapeId="0" xr:uid="{00000000-0006-0000-0700-000028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N19" authorId="1" shapeId="0" xr:uid="{00000000-0006-0000-0700-000029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P19" authorId="1" shapeId="0" xr:uid="{00000000-0006-0000-0700-00002A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Q19" authorId="1" shapeId="0" xr:uid="{00000000-0006-0000-0700-00002B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B20" authorId="2" shapeId="0" xr:uid="{00000000-0006-0000-0700-00002C000000}">
      <text>
        <r>
          <rPr>
            <sz val="8"/>
            <color indexed="81"/>
            <rFont val="Tahoma"/>
            <family val="2"/>
            <charset val="186"/>
          </rPr>
          <t xml:space="preserve">selgitada millal planeeritakse investeering  arvele votta
</t>
        </r>
      </text>
    </comment>
    <comment ref="D21" authorId="1" shapeId="0" xr:uid="{00000000-0006-0000-0700-00002D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E21" authorId="1" shapeId="0" xr:uid="{00000000-0006-0000-0700-00002E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G21" authorId="1" shapeId="0" xr:uid="{00000000-0006-0000-0700-00002F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H21" authorId="1" shapeId="0" xr:uid="{00000000-0006-0000-0700-000030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J21" authorId="1" shapeId="0" xr:uid="{00000000-0006-0000-0700-000031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K21" authorId="1" shapeId="0" xr:uid="{00000000-0006-0000-0700-000032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M21" authorId="1" shapeId="0" xr:uid="{00000000-0006-0000-0700-000033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N21" authorId="1" shapeId="0" xr:uid="{00000000-0006-0000-0700-000034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P21" authorId="1" shapeId="0" xr:uid="{00000000-0006-0000-0700-000035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Q21" authorId="1" shapeId="0" xr:uid="{00000000-0006-0000-0700-000036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D22" authorId="1" shapeId="0" xr:uid="{00000000-0006-0000-0700-000037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E22" authorId="1" shapeId="0" xr:uid="{00000000-0006-0000-0700-000038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G22" authorId="1" shapeId="0" xr:uid="{00000000-0006-0000-0700-000039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H22" authorId="1" shapeId="0" xr:uid="{00000000-0006-0000-0700-00003A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J22" authorId="1" shapeId="0" xr:uid="{00000000-0006-0000-0700-00003B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K22" authorId="1" shapeId="0" xr:uid="{00000000-0006-0000-0700-00003C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M22" authorId="1" shapeId="0" xr:uid="{00000000-0006-0000-0700-00003D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N22" authorId="1" shapeId="0" xr:uid="{00000000-0006-0000-0700-00003E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P22" authorId="1" shapeId="0" xr:uid="{00000000-0006-0000-0700-00003F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  <comment ref="Q22" authorId="1" shapeId="0" xr:uid="{00000000-0006-0000-0700-000040000000}">
      <text>
        <r>
          <rPr>
            <b/>
            <sz val="8"/>
            <color indexed="81"/>
            <rFont val="Tahoma"/>
            <family val="2"/>
            <charset val="186"/>
          </rPr>
          <t>Arvutatakse automaatselt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Terje</author>
  </authors>
  <commentList>
    <comment ref="F3" authorId="0" shapeId="0" xr:uid="{00000000-0006-0000-0800-000001000000}">
      <text>
        <r>
          <rPr>
            <sz val="10"/>
            <color indexed="81"/>
            <rFont val="Times New Roman"/>
            <family val="1"/>
            <charset val="186"/>
          </rPr>
          <t xml:space="preserve">vara soetusmaksumus, millest on maha arvatud vara soetamiseks saadud tagastamatu abi summa (sh sihtfinantseerimine) ja liitumistasud
</t>
        </r>
      </text>
    </comment>
    <comment ref="H5" authorId="0" shapeId="0" xr:uid="{00000000-0006-0000-0800-000002000000}">
      <text>
        <r>
          <rPr>
            <sz val="10"/>
            <color indexed="81"/>
            <rFont val="Times New Roman"/>
            <family val="1"/>
            <charset val="186"/>
          </rPr>
          <t>Viimase lõppenud majandusaasta lõpu seis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36" authorId="0" shapeId="0" xr:uid="{00000000-0006-0000-0800-000003000000}">
      <text>
        <r>
          <rPr>
            <sz val="10"/>
            <color indexed="81"/>
            <rFont val="Times New Roman"/>
            <family val="1"/>
            <charset val="186"/>
          </rPr>
          <t>Ei arvestata reguleeritava vara hulka</t>
        </r>
      </text>
    </comment>
    <comment ref="B37" authorId="0" shapeId="0" xr:uid="{00000000-0006-0000-0800-000004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82" authorId="0" shapeId="0" xr:uid="{00000000-0006-0000-0800-000005000000}">
      <text>
        <r>
          <rPr>
            <sz val="10"/>
            <color indexed="81"/>
            <rFont val="Times New Roman"/>
            <family val="1"/>
            <charset val="186"/>
          </rPr>
          <t>Ei arvestata reguleeritava vara hulka</t>
        </r>
      </text>
    </comment>
    <comment ref="B83" authorId="0" shapeId="0" xr:uid="{00000000-0006-0000-0800-000006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B84" authorId="0" shapeId="0" xr:uid="{00000000-0006-0000-0800-000007000000}">
      <text>
        <r>
          <rPr>
            <sz val="10"/>
            <color indexed="81"/>
            <rFont val="Times New Roman"/>
            <family val="1"/>
            <charset val="186"/>
          </rPr>
          <t>Liitumistasude ja tagastamatu abi raames (sh sihtfinantseerimise teel) soetatud põhivarata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87" authorId="0" shapeId="0" xr:uid="{00000000-0006-0000-0800-000008000000}">
      <text>
        <r>
          <rPr>
            <sz val="9"/>
            <color indexed="81"/>
            <rFont val="Tahoma"/>
            <family val="2"/>
            <charset val="186"/>
          </rPr>
          <t xml:space="preserve">Majandusaasta, millal planeeritakse investeering teostada  (Näiteks. 2013/2014)
</t>
        </r>
      </text>
    </comment>
    <comment ref="B98" authorId="0" shapeId="0" xr:uid="{00000000-0006-0000-0800-000009000000}">
      <text>
        <r>
          <rPr>
            <sz val="10"/>
            <color indexed="81"/>
            <rFont val="Times New Roman"/>
            <family val="1"/>
            <charset val="186"/>
          </rPr>
          <t xml:space="preserve">Ei arvestata reguleeritava vara hulka
</t>
        </r>
      </text>
    </comment>
    <comment ref="B99" authorId="0" shapeId="0" xr:uid="{00000000-0006-0000-0800-00000A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  <comment ref="B113" authorId="0" shapeId="0" xr:uid="{00000000-0006-0000-0800-00000B000000}">
      <text>
        <r>
          <rPr>
            <sz val="10"/>
            <color indexed="81"/>
            <rFont val="Times New Roman"/>
            <family val="1"/>
            <charset val="186"/>
          </rPr>
          <t xml:space="preserve">Ei arvestata reguleeritava vara hulka
</t>
        </r>
      </text>
    </comment>
    <comment ref="B114" authorId="0" shapeId="0" xr:uid="{00000000-0006-0000-0800-00000C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  <comment ref="B115" authorId="0" shapeId="0" xr:uid="{00000000-0006-0000-0800-00000D000000}">
      <text>
        <r>
          <rPr>
            <sz val="9"/>
            <color indexed="81"/>
            <rFont val="Tahoma"/>
            <family val="2"/>
            <charset val="186"/>
          </rPr>
          <t xml:space="preserve">Liitumistasude ja tagastamatu abi raames (sh sihtfinantseerimise teel) soetatud põhivarata
</t>
        </r>
      </text>
    </comment>
  </commentList>
</comments>
</file>

<file path=xl/sharedStrings.xml><?xml version="1.0" encoding="utf-8"?>
<sst xmlns="http://schemas.openxmlformats.org/spreadsheetml/2006/main" count="2065" uniqueCount="877">
  <si>
    <t>Ühik</t>
  </si>
  <si>
    <t>MWh</t>
  </si>
  <si>
    <t>%</t>
  </si>
  <si>
    <t>Trassikadu</t>
  </si>
  <si>
    <t>Soojuse müügimaht</t>
  </si>
  <si>
    <t>Muutuvkulud</t>
  </si>
  <si>
    <t>tuh €</t>
  </si>
  <si>
    <t>Keskkonnatasud</t>
  </si>
  <si>
    <t>Tegevuskulud</t>
  </si>
  <si>
    <t>Kapitalikulu</t>
  </si>
  <si>
    <t>Põhjendatud tulukus</t>
  </si>
  <si>
    <t>€/MWh</t>
  </si>
  <si>
    <t>SOOJUSE PIIRHIND</t>
  </si>
  <si>
    <t>MW</t>
  </si>
  <si>
    <t>Soojustrasside pikkus</t>
  </si>
  <si>
    <t>km</t>
  </si>
  <si>
    <t>tk</t>
  </si>
  <si>
    <t>x</t>
  </si>
  <si>
    <t>Püsikulu komponent hinnavalemis</t>
  </si>
  <si>
    <t>kWh</t>
  </si>
  <si>
    <t>Saasteaine nimetus</t>
  </si>
  <si>
    <t>KOKKU:</t>
  </si>
  <si>
    <t>Nimetus</t>
  </si>
  <si>
    <t>Süsinikoksiid (CO)</t>
  </si>
  <si>
    <t>Primaarenergia, MWh</t>
  </si>
  <si>
    <t>Lämmastikoksiid (NOx)</t>
  </si>
  <si>
    <t>Süsinikdioksiid (CO2)</t>
  </si>
  <si>
    <t>Ettevõtte üldjuhtimiskulud</t>
  </si>
  <si>
    <t>Kokku mitmesugused tegevuskulud</t>
  </si>
  <si>
    <t>Materjalid ja varuosad</t>
  </si>
  <si>
    <t>MWh/MWh</t>
  </si>
  <si>
    <t>kWh/MWh</t>
  </si>
  <si>
    <t>Muutuvkulud, tuh €</t>
  </si>
  <si>
    <t>Tegevuskulud, tuh €</t>
  </si>
  <si>
    <t>Kapitalikulud, tuh €</t>
  </si>
  <si>
    <t>Taotletav müügitulu, tuh €</t>
  </si>
  <si>
    <t>Käibekapital, tuh €</t>
  </si>
  <si>
    <t>WACC, % **</t>
  </si>
  <si>
    <t>Põhjendatud tulukus, tuh €</t>
  </si>
  <si>
    <t>Märkused:</t>
  </si>
  <si>
    <t>Rea nr</t>
  </si>
  <si>
    <t>€senti/kWh</t>
  </si>
  <si>
    <t>Saasteainete kogus, t</t>
  </si>
  <si>
    <t>Tootmise kasutegur</t>
  </si>
  <si>
    <t>€</t>
  </si>
  <si>
    <t>Võrgupiirkonna nimetus:</t>
  </si>
  <si>
    <t>-</t>
  </si>
  <si>
    <t>Tootmisseadmed:</t>
  </si>
  <si>
    <t>1.1</t>
  </si>
  <si>
    <t>1.1.1</t>
  </si>
  <si>
    <t>1.1.1.1</t>
  </si>
  <si>
    <t>1.1.1.2</t>
  </si>
  <si>
    <t>1.2</t>
  </si>
  <si>
    <t>1.1.2</t>
  </si>
  <si>
    <t>1.1.2.1</t>
  </si>
  <si>
    <t>1.1.2.2</t>
  </si>
  <si>
    <t>1.1.3</t>
  </si>
  <si>
    <t>1.1.3.1</t>
  </si>
  <si>
    <t>1.1.3.2</t>
  </si>
  <si>
    <t>1.1.4</t>
  </si>
  <si>
    <t>1.1.4.1</t>
  </si>
  <si>
    <t>1.1.4.2</t>
  </si>
  <si>
    <t>1.1.5</t>
  </si>
  <si>
    <t>1.2.1</t>
  </si>
  <si>
    <t>1.2.1.1</t>
  </si>
  <si>
    <t>1.2.1.2</t>
  </si>
  <si>
    <t>1.2.2</t>
  </si>
  <si>
    <t>1.2.2.1</t>
  </si>
  <si>
    <t>1.2.2.2</t>
  </si>
  <si>
    <t>1.2.3</t>
  </si>
  <si>
    <t>1.2.4</t>
  </si>
  <si>
    <t>1.2.5</t>
  </si>
  <si>
    <t>1.3</t>
  </si>
  <si>
    <t>1.3.1</t>
  </si>
  <si>
    <t>1.3.1.1</t>
  </si>
  <si>
    <t>1.3.1.2</t>
  </si>
  <si>
    <t>1.3.2</t>
  </si>
  <si>
    <t>1.3.2.1</t>
  </si>
  <si>
    <t>1.3.2.2</t>
  </si>
  <si>
    <t>1.3.3</t>
  </si>
  <si>
    <t>1.3.4</t>
  </si>
  <si>
    <t>1.3.5</t>
  </si>
  <si>
    <t>1.4</t>
  </si>
  <si>
    <t>1.4.1</t>
  </si>
  <si>
    <t>1.4.1.1</t>
  </si>
  <si>
    <t>1.4.1.2</t>
  </si>
  <si>
    <t>1.4.2</t>
  </si>
  <si>
    <t>1.4.2.1</t>
  </si>
  <si>
    <t>1.4.2.2</t>
  </si>
  <si>
    <t>1.S</t>
  </si>
  <si>
    <t>Tootmisseadmete võimsus kokku</t>
  </si>
  <si>
    <t>2</t>
  </si>
  <si>
    <t>2.1</t>
  </si>
  <si>
    <t>2.1.1</t>
  </si>
  <si>
    <t>2.2</t>
  </si>
  <si>
    <t>2.2.1</t>
  </si>
  <si>
    <t>2.2.2</t>
  </si>
  <si>
    <t>3</t>
  </si>
  <si>
    <t>3.1</t>
  </si>
  <si>
    <t>Kütus 1:</t>
  </si>
  <si>
    <t>Kütuse liik</t>
  </si>
  <si>
    <t>Kasutatud kütuse kogus</t>
  </si>
  <si>
    <t>Tootmismaht kütusega (võrku antud soojus)</t>
  </si>
  <si>
    <t>Kütus 2:</t>
  </si>
  <si>
    <t>3.2</t>
  </si>
  <si>
    <t>3.2.1</t>
  </si>
  <si>
    <t>3.2.2</t>
  </si>
  <si>
    <t>Kütus 3:</t>
  </si>
  <si>
    <t>3.3</t>
  </si>
  <si>
    <t>3.3.1</t>
  </si>
  <si>
    <t>Primaarenergia kokku</t>
  </si>
  <si>
    <t>Keskmine tootmise kasutegur</t>
  </si>
  <si>
    <t>Müügimaht</t>
  </si>
  <si>
    <t>Trassikadu võrgu pikkuse kohta</t>
  </si>
  <si>
    <t>MWh/km</t>
  </si>
  <si>
    <t>4</t>
  </si>
  <si>
    <t>Muud andmed</t>
  </si>
  <si>
    <t>4.1</t>
  </si>
  <si>
    <t xml:space="preserve">Tekkinud tuha kogus </t>
  </si>
  <si>
    <r>
      <t>m</t>
    </r>
    <r>
      <rPr>
        <sz val="10"/>
        <rFont val="Calibri"/>
        <family val="2"/>
        <charset val="186"/>
      </rPr>
      <t>³</t>
    </r>
  </si>
  <si>
    <t>4.2</t>
  </si>
  <si>
    <t>4.3</t>
  </si>
  <si>
    <t>4.4</t>
  </si>
  <si>
    <t>4.5</t>
  </si>
  <si>
    <t>Sisseostetud soojus</t>
  </si>
  <si>
    <t>5</t>
  </si>
  <si>
    <t>Kütus 1 kogus</t>
  </si>
  <si>
    <t>Kütus 1 hind</t>
  </si>
  <si>
    <t>Kütus 1 maksumus</t>
  </si>
  <si>
    <t>Kütus 2 kogus</t>
  </si>
  <si>
    <t>Kütus 2 liik</t>
  </si>
  <si>
    <t>Kütus 1 liik</t>
  </si>
  <si>
    <t>Kütus 2 hind</t>
  </si>
  <si>
    <t>Kütus 2 maksumus</t>
  </si>
  <si>
    <t>Kütus 3 liik</t>
  </si>
  <si>
    <t>Kütus 3 kogus</t>
  </si>
  <si>
    <t>Kütus 3 hind</t>
  </si>
  <si>
    <t>Kütus 3 maksumus</t>
  </si>
  <si>
    <t>Kütuse maksumus kokku</t>
  </si>
  <si>
    <t>2.3</t>
  </si>
  <si>
    <t>Sisseostetud soojuse maksumus</t>
  </si>
  <si>
    <t>2.S</t>
  </si>
  <si>
    <t>Kütuse kulud</t>
  </si>
  <si>
    <t>Sisseostetud soojuse kulud</t>
  </si>
  <si>
    <t>Elektrienergia kulud</t>
  </si>
  <si>
    <t>3.S</t>
  </si>
  <si>
    <t>€/kWh</t>
  </si>
  <si>
    <t>Ostetud elektrienergia maksumus</t>
  </si>
  <si>
    <t>4.6</t>
  </si>
  <si>
    <t>Elektrienergia erikulu müügimahu suhtes</t>
  </si>
  <si>
    <t>4.S</t>
  </si>
  <si>
    <t>Kemikaalide kulud</t>
  </si>
  <si>
    <t>Ostetud kemikaalide kogus</t>
  </si>
  <si>
    <t>4.7</t>
  </si>
  <si>
    <t>Keskmine kemikaalide hind</t>
  </si>
  <si>
    <t>Ostetud kemikaalide maksumus</t>
  </si>
  <si>
    <t>5.1</t>
  </si>
  <si>
    <t>5.2</t>
  </si>
  <si>
    <t>5.S</t>
  </si>
  <si>
    <t>Keskmine teenuse hind</t>
  </si>
  <si>
    <t>€/m³</t>
  </si>
  <si>
    <t>Ostetud vee- ja kanalisatsiooniteenuse maksumus</t>
  </si>
  <si>
    <t>Ostetud vee- ja kanalisatsiooniteenuse kogus</t>
  </si>
  <si>
    <t>Vee- ja kanalisatsiooniteenuse kulud</t>
  </si>
  <si>
    <t>6</t>
  </si>
  <si>
    <t>Muud muutuvkulud</t>
  </si>
  <si>
    <t>Tekkinud tuha kogus</t>
  </si>
  <si>
    <t>Tuha utiliseerimise hind</t>
  </si>
  <si>
    <t>Tuha utiliseerimise maksumus</t>
  </si>
  <si>
    <t>Kokku muud muutuvkulud</t>
  </si>
  <si>
    <t>6.S</t>
  </si>
  <si>
    <t>S</t>
  </si>
  <si>
    <t>Muutuvkulud kokku</t>
  </si>
  <si>
    <t>Kogus</t>
  </si>
  <si>
    <t>Koguse ühik</t>
  </si>
  <si>
    <t>Katlamaja 1:</t>
  </si>
  <si>
    <t>Näitaja</t>
  </si>
  <si>
    <t>Jrk nr</t>
  </si>
  <si>
    <t>Elektrienergia müüja</t>
  </si>
  <si>
    <t>Hinnapakett</t>
  </si>
  <si>
    <t>Elektri ampripõhine võimsustasu</t>
  </si>
  <si>
    <t>€/A kuus</t>
  </si>
  <si>
    <t>A kuus</t>
  </si>
  <si>
    <t>Elektri kilovatipõhine võimsustasu</t>
  </si>
  <si>
    <t>€/kW kuus</t>
  </si>
  <si>
    <t>kW kuus</t>
  </si>
  <si>
    <t>€/kuu</t>
  </si>
  <si>
    <t>kuu</t>
  </si>
  <si>
    <t>Katlamaja 1 kokku kulud</t>
  </si>
  <si>
    <t>Katlamaja 2:</t>
  </si>
  <si>
    <t>2.3.1</t>
  </si>
  <si>
    <t>2.3.2</t>
  </si>
  <si>
    <t>Katlamaja 3:</t>
  </si>
  <si>
    <t>Katlamaja 4:</t>
  </si>
  <si>
    <t>Katlamaja 2 kokku kulud</t>
  </si>
  <si>
    <t>Katlamaja 3 kokku kulud</t>
  </si>
  <si>
    <t>Katlamaja 4 kokku kulud</t>
  </si>
  <si>
    <t>6.1</t>
  </si>
  <si>
    <t>6.2</t>
  </si>
  <si>
    <t>S.1</t>
  </si>
  <si>
    <t>Ostetud elektrienergia kogus kokku</t>
  </si>
  <si>
    <t>S.2</t>
  </si>
  <si>
    <t>Riigilõivud</t>
  </si>
  <si>
    <t>Maamaks</t>
  </si>
  <si>
    <t>Tahked osakesed</t>
  </si>
  <si>
    <t>Lenduvad org.ühendid (LOÜ)</t>
  </si>
  <si>
    <t>Raskemetallid</t>
  </si>
  <si>
    <t>Põlevkiviõli:</t>
  </si>
  <si>
    <t>Põlevkiviõli kogus, tonn</t>
  </si>
  <si>
    <t>Väävlisisaldus, %</t>
  </si>
  <si>
    <t>Vääveldioksiid (SO2)</t>
  </si>
  <si>
    <t>Välisõhu saastetasud</t>
  </si>
  <si>
    <t>inimene</t>
  </si>
  <si>
    <t>5.3</t>
  </si>
  <si>
    <t>5.4</t>
  </si>
  <si>
    <t>5.5</t>
  </si>
  <si>
    <t>5.8</t>
  </si>
  <si>
    <t>7</t>
  </si>
  <si>
    <t>8</t>
  </si>
  <si>
    <t>Soetus- maksumus</t>
  </si>
  <si>
    <t>Soojusmõõtjad, -seadmed</t>
  </si>
  <si>
    <t>dd.MM.yyyy</t>
  </si>
  <si>
    <t>1</t>
  </si>
  <si>
    <t>2.4</t>
  </si>
  <si>
    <t>2.5</t>
  </si>
  <si>
    <t>2.6</t>
  </si>
  <si>
    <t>2.7</t>
  </si>
  <si>
    <t>2.8</t>
  </si>
  <si>
    <t>2.9</t>
  </si>
  <si>
    <t>2.10</t>
  </si>
  <si>
    <t>3.4</t>
  </si>
  <si>
    <t>3.5</t>
  </si>
  <si>
    <t>3.6</t>
  </si>
  <si>
    <t>3.7</t>
  </si>
  <si>
    <t>3.8</t>
  </si>
  <si>
    <t>3.9</t>
  </si>
  <si>
    <t>3.10</t>
  </si>
  <si>
    <t>4.8</t>
  </si>
  <si>
    <t>4.9</t>
  </si>
  <si>
    <t>4.10</t>
  </si>
  <si>
    <t>1.5</t>
  </si>
  <si>
    <t>S.3</t>
  </si>
  <si>
    <t>9</t>
  </si>
  <si>
    <t>10</t>
  </si>
  <si>
    <t>11</t>
  </si>
  <si>
    <t>Põhjendatud tulukuse vahe:</t>
  </si>
  <si>
    <t xml:space="preserve">Põhjendatud tulukus, tuh € </t>
  </si>
  <si>
    <t>Taotlus</t>
  </si>
  <si>
    <t>Konkurentsiamet</t>
  </si>
  <si>
    <t>ÄRIREGISTRI KOOD:</t>
  </si>
  <si>
    <t>AADRESS:</t>
  </si>
  <si>
    <t>TELEFON:</t>
  </si>
  <si>
    <t>Kui jah, siis millisesse kontserni (nimi):</t>
  </si>
  <si>
    <t>HINNATAOTLUSE ESITAMISE PÕHJUSED:</t>
  </si>
  <si>
    <t>Tootmismaht</t>
  </si>
  <si>
    <t>HINNAVALEMI TEGURID:</t>
  </si>
  <si>
    <t>TAOTLETAV HINNAVALEM:</t>
  </si>
  <si>
    <t>Ees- ja perekonnanimi:</t>
  </si>
  <si>
    <t>Allkiri:</t>
  </si>
  <si>
    <t>ALLKIRJASTATUD ETTEVÕTTE SEADUSLIKU ESINDAJA POOLT:</t>
  </si>
  <si>
    <r>
      <t xml:space="preserve">ning </t>
    </r>
    <r>
      <rPr>
        <u/>
        <sz val="10"/>
        <rFont val="Times New Roman"/>
        <family val="1"/>
        <charset val="186"/>
      </rPr>
      <t xml:space="preserve">lisamaterjalidena </t>
    </r>
    <r>
      <rPr>
        <sz val="10"/>
        <rFont val="Times New Roman"/>
        <family val="1"/>
        <charset val="186"/>
      </rPr>
      <t>esitatud andmed vastavad tõele.</t>
    </r>
  </si>
  <si>
    <t>HINNATAOTLUSE KOONDANDMED (tulenevad eelpool olevate lehtede tabelitest):</t>
  </si>
  <si>
    <t>Tootmise kasutegur (arvutatud)</t>
  </si>
  <si>
    <t>(ühik)</t>
  </si>
  <si>
    <t>Reaktiivenergia tarbimine</t>
  </si>
  <si>
    <t>€senti/kvarh</t>
  </si>
  <si>
    <t>kvarh</t>
  </si>
  <si>
    <t>Reaktiivenergia võrku andmine</t>
  </si>
  <si>
    <t>Taastuvenergia tasu</t>
  </si>
  <si>
    <t>Aktsiis</t>
  </si>
  <si>
    <t>Kivisüsi:</t>
  </si>
  <si>
    <t>Kivisöe kogus, tonn</t>
  </si>
  <si>
    <t>Kütuse väävlisisaldus, %</t>
  </si>
  <si>
    <t>1.6</t>
  </si>
  <si>
    <t>1.7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</si>
  <si>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</si>
  <si>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</si>
  <si>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</si>
  <si>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</si>
  <si>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</si>
  <si>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</si>
  <si>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</si>
  <si>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</si>
  <si>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</si>
  <si>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</si>
  <si>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ETTEVÕTTE TEGEVUSE LÜHITUTVUSTUS:</t>
  </si>
  <si>
    <t>Sisseostetavad teenused</t>
  </si>
  <si>
    <t>Kokku soojuse tootmisega seotud kulud</t>
  </si>
  <si>
    <t>Kokku soojuse jaotamisega seotud kulud</t>
  </si>
  <si>
    <t xml:space="preserve">Tegevuskulude erikulu müügimahu suhtes </t>
  </si>
  <si>
    <t>Primaarenergia hind</t>
  </si>
  <si>
    <t>2.1.2</t>
  </si>
  <si>
    <t>2.1.S</t>
  </si>
  <si>
    <t>2.2.S</t>
  </si>
  <si>
    <t>Kasutatud liiva kogus</t>
  </si>
  <si>
    <t>Liiva soetamise ja utiliseerimise hind</t>
  </si>
  <si>
    <t>Liiva kasutamise maksumus</t>
  </si>
  <si>
    <t>Keskkonnatasude kulud</t>
  </si>
  <si>
    <t>7.1.1</t>
  </si>
  <si>
    <t>7.1.2</t>
  </si>
  <si>
    <t>7.1.3</t>
  </si>
  <si>
    <t>7.2.1</t>
  </si>
  <si>
    <t>7.2.2</t>
  </si>
  <si>
    <t>7.2.3</t>
  </si>
  <si>
    <t>7.S</t>
  </si>
  <si>
    <t>5.9</t>
  </si>
  <si>
    <t>5.10</t>
  </si>
  <si>
    <t>Ostetud soojuse 1 kogus</t>
  </si>
  <si>
    <t>Ostetud soojuse 1 hind</t>
  </si>
  <si>
    <t>Sisseostetud soojuse 1 maksumus</t>
  </si>
  <si>
    <t>Ostetud soojuse 2 kogus</t>
  </si>
  <si>
    <t>Ostetud soojuse 2 hind</t>
  </si>
  <si>
    <t>Sisseostetud soojuse 2 maksumus</t>
  </si>
  <si>
    <t>JAH</t>
  </si>
  <si>
    <t>EI</t>
  </si>
  <si>
    <t>Hinnavalemi taotlemise soov (märkida ristiga)</t>
  </si>
  <si>
    <t>2.4.1</t>
  </si>
  <si>
    <t>2.4.2</t>
  </si>
  <si>
    <t>2.4.S</t>
  </si>
  <si>
    <t>Katlamajad ja -seadmed</t>
  </si>
  <si>
    <t>Kokku kulud keskkonnatasudele</t>
  </si>
  <si>
    <t>Põhivara mahakandmine/müük</t>
  </si>
  <si>
    <t>(aadress)</t>
  </si>
  <si>
    <t>Reguleeritud põhivara jääkväärtus perioodi alguses kokku</t>
  </si>
  <si>
    <t>Reguleeritud põhivara jääkväärtus perioodi lõpus kokku</t>
  </si>
  <si>
    <t>lõpp (dd.mm.yyyy)</t>
  </si>
  <si>
    <t>Soetusaeg</t>
  </si>
  <si>
    <t>Maa</t>
  </si>
  <si>
    <t>Kokku maa</t>
  </si>
  <si>
    <t>Majandusaasta</t>
  </si>
  <si>
    <r>
      <t xml:space="preserve">algus </t>
    </r>
    <r>
      <rPr>
        <sz val="11"/>
        <color indexed="8"/>
        <rFont val="Times New Roman"/>
        <family val="2"/>
        <charset val="186"/>
      </rPr>
      <t>(dd.mm.yyyy)</t>
    </r>
  </si>
  <si>
    <t xml:space="preserve">Majandusaasta </t>
  </si>
  <si>
    <t xml:space="preserve">Akumuleeritud kulum </t>
  </si>
  <si>
    <t>Jääk- maksumus</t>
  </si>
  <si>
    <t>S.4</t>
  </si>
  <si>
    <t>S.5</t>
  </si>
  <si>
    <t>S.6</t>
  </si>
  <si>
    <t>Investeeringud põhivarasse (ilma liitumistasudeta ja sihtfinantseeringuta)</t>
  </si>
  <si>
    <t>Reguleeritud vara kokku</t>
  </si>
  <si>
    <t>Soojusvõrgud, rajatised</t>
  </si>
  <si>
    <t>Netosoetus- maksumus</t>
  </si>
  <si>
    <t>Võrku antud soojus kokku</t>
  </si>
  <si>
    <t>Soojuse jaotamise ja müügiga seotud töötajate arv</t>
  </si>
  <si>
    <t>Soojuse tootmisega seotud töötajate arv</t>
  </si>
  <si>
    <t>Soojuse tootmisega seotud tööjõukulud koos maksudega</t>
  </si>
  <si>
    <t>Majandusaasta miinus 3 aastat</t>
  </si>
  <si>
    <t>Majandusaasta miinus 2 aastat</t>
  </si>
  <si>
    <t>Majandusaasta miinus 1 aasta</t>
  </si>
  <si>
    <t>Majandusaasta pluss 1 aasta</t>
  </si>
  <si>
    <t>NB! Kontrolli andmete vastavust tabeliga "Algandmed"</t>
  </si>
  <si>
    <t>Soojustarbimise tihedus (müügimaht võrgu pikkuse kohta)</t>
  </si>
  <si>
    <t>2.3.S</t>
  </si>
  <si>
    <t>Ostetud soojuse 3 kogus</t>
  </si>
  <si>
    <t>Ostetud soojuse 3 hind</t>
  </si>
  <si>
    <t>Sisseostetud soojuse 4 maksumus</t>
  </si>
  <si>
    <t>Ostetud soojuse 4 kogus</t>
  </si>
  <si>
    <t>Ostetud soojuse 4 hind</t>
  </si>
  <si>
    <t>4.1.1</t>
  </si>
  <si>
    <t>4.1.2</t>
  </si>
  <si>
    <r>
      <t>Turba kogus, m</t>
    </r>
    <r>
      <rPr>
        <vertAlign val="superscript"/>
        <sz val="10"/>
        <color indexed="8"/>
        <rFont val="Times New Roman"/>
        <family val="1"/>
        <charset val="186"/>
      </rPr>
      <t>3</t>
    </r>
  </si>
  <si>
    <r>
      <t>Maa- või biogaasi kogus, tuh m</t>
    </r>
    <r>
      <rPr>
        <vertAlign val="superscript"/>
        <sz val="10"/>
        <color indexed="8"/>
        <rFont val="Times New Roman"/>
        <family val="1"/>
        <charset val="186"/>
      </rPr>
      <t>3</t>
    </r>
  </si>
  <si>
    <t>Transpordikulud</t>
  </si>
  <si>
    <r>
      <t xml:space="preserve"> </t>
    </r>
    <r>
      <rPr>
        <i/>
        <sz val="10"/>
        <color indexed="49"/>
        <rFont val="Times New Roman"/>
        <family val="2"/>
        <charset val="186"/>
      </rPr>
      <t>(nimetada)</t>
    </r>
  </si>
  <si>
    <t>Telekommunikatsioonikulud</t>
  </si>
  <si>
    <t>2.11</t>
  </si>
  <si>
    <t>2.12</t>
  </si>
  <si>
    <t>2.13</t>
  </si>
  <si>
    <t>2.14</t>
  </si>
  <si>
    <t>2.15</t>
  </si>
  <si>
    <t>4.11</t>
  </si>
  <si>
    <t>4.12</t>
  </si>
  <si>
    <t>4.13</t>
  </si>
  <si>
    <t>4.14</t>
  </si>
  <si>
    <t>4.15</t>
  </si>
  <si>
    <t>5.6</t>
  </si>
  <si>
    <t>5.7</t>
  </si>
  <si>
    <t xml:space="preserve">Soojuse tootmise, jaotamise ja müügiga seotud põhivarad </t>
  </si>
  <si>
    <t>majandusaasta</t>
  </si>
  <si>
    <t>majandusaasta pluss 1 aasta</t>
  </si>
  <si>
    <t>HINNATAOTLUSE ESITAMISE KUUPÄEV (dd.mm.yyyy):</t>
  </si>
  <si>
    <t>VIIMANE HINNA KOOSKÕLASTUS (millal, kelle poolt, dokumendi nr) JA KOOSKÕLASTATUD HIND (€/MWh)</t>
  </si>
  <si>
    <t>Sisseostetav soojus 1</t>
  </si>
  <si>
    <t>Sisseostetav soojus 2</t>
  </si>
  <si>
    <t>Sisseostetav soojus 3</t>
  </si>
  <si>
    <t>Sisseostetav soojus 4</t>
  </si>
  <si>
    <t>Soojuse 1 sisseostuhind</t>
  </si>
  <si>
    <t>Soojuse 2 sisseostuhind</t>
  </si>
  <si>
    <t>Soojuse 3 sisseostuhind</t>
  </si>
  <si>
    <t>Soojuse 4 sisseostuhind</t>
  </si>
  <si>
    <t>Reguleeritav vara kokku, tuh €</t>
  </si>
  <si>
    <t>Elektrienergia erikulu tootmismahu suhtes</t>
  </si>
  <si>
    <t>LUBATUD MÜÜGITULU</t>
  </si>
  <si>
    <t>sh liitumistasude ja tagastamatu abi raames (sh sihtfinantseerimise teel) soetatav põhivara</t>
  </si>
  <si>
    <t>sh liitumistasude ja tagastamatu abi raames (sh sihtfinantseerimise teel) soetatud põhivara</t>
  </si>
  <si>
    <t>sh liitumistasude ja tagastamatu abi raames</t>
  </si>
  <si>
    <t>Võrguteenuse müüja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</si>
  <si>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</si>
  <si>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</si>
  <si>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</si>
  <si>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</si>
  <si>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</si>
  <si>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</si>
  <si>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</si>
  <si>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</si>
  <si>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</si>
  <si>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</si>
  <si>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</si>
  <si>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</si>
  <si>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Maagaas:</t>
  </si>
  <si>
    <t>2.16</t>
  </si>
  <si>
    <t>2.17</t>
  </si>
  <si>
    <t>2.18</t>
  </si>
  <si>
    <t>2.19</t>
  </si>
  <si>
    <t>4.16</t>
  </si>
  <si>
    <t>4.17</t>
  </si>
  <si>
    <t>4.18</t>
  </si>
  <si>
    <t>4.19</t>
  </si>
  <si>
    <t>6.3</t>
  </si>
  <si>
    <t>6.4</t>
  </si>
  <si>
    <t>6.5</t>
  </si>
  <si>
    <r>
      <rPr>
        <sz val="10"/>
        <rFont val="Times New Roman"/>
        <family val="1"/>
        <charset val="186"/>
      </rPr>
      <t xml:space="preserve">Muud keskkonnatasud </t>
    </r>
    <r>
      <rPr>
        <b/>
        <i/>
        <sz val="10"/>
        <rFont val="Times New Roman"/>
        <family val="1"/>
        <charset val="186"/>
      </rPr>
      <t>(</t>
    </r>
    <r>
      <rPr>
        <i/>
        <sz val="10"/>
        <color indexed="49"/>
        <rFont val="Times New Roman"/>
        <family val="1"/>
        <charset val="186"/>
      </rPr>
      <t>nimetada</t>
    </r>
    <r>
      <rPr>
        <b/>
        <i/>
        <sz val="10"/>
        <rFont val="Times New Roman"/>
        <family val="1"/>
        <charset val="186"/>
      </rPr>
      <t>)</t>
    </r>
  </si>
  <si>
    <t xml:space="preserve">Investeeringud soojuse tootmise põhivarasse </t>
  </si>
  <si>
    <t xml:space="preserve">Investeeringud soojuse jaotamise ja müügiga seotud põhivarasse </t>
  </si>
  <si>
    <t>S.7</t>
  </si>
  <si>
    <t>Jääk- maksumus perioodi lõpus</t>
  </si>
  <si>
    <t>Võrgupiirkonna soojuse tootmise ja jaotamise muutuvkulud</t>
  </si>
  <si>
    <t>Reguleeritava põhivara kapitalikulu</t>
  </si>
  <si>
    <t>Reguleeritava vara hulka arvatud renditud põhivara kapitalikulu ja põhjendatud tulukuse arvestus:</t>
  </si>
  <si>
    <t>Soojuse tootmisega seotud otsekulud</t>
  </si>
  <si>
    <t>Soojuse tootmisega seotud mitmesugused tegevuskulud</t>
  </si>
  <si>
    <t>Soojuse jaotamise ja müügiga seotud otsekulud</t>
  </si>
  <si>
    <t>Soojuse jaotamise ja müügiga seotud mitmesugused tegevuskulud</t>
  </si>
  <si>
    <t>Sisseostetava soojuse 1 tegur</t>
  </si>
  <si>
    <t>Sisseostetava soojuse 2 tegur</t>
  </si>
  <si>
    <t>Sisseostetava soojuse 3 tegur</t>
  </si>
  <si>
    <t>Sisseostetava soojuse 4 tegur</t>
  </si>
  <si>
    <t>ETTEVÕTTE NIMI:</t>
  </si>
  <si>
    <t>Tarbijate (hoonete) arv</t>
  </si>
  <si>
    <t>Kasutatud kütuste bilanss:</t>
  </si>
  <si>
    <r>
      <t>Alumine kütteväärtus</t>
    </r>
    <r>
      <rPr>
        <sz val="10"/>
        <color indexed="17"/>
        <rFont val="Times New Roman"/>
        <family val="1"/>
        <charset val="186"/>
      </rPr>
      <t xml:space="preserve"> </t>
    </r>
  </si>
  <si>
    <t>Kütuse energiasisaldus (primaarenergia)</t>
  </si>
  <si>
    <t>1.1.1.3</t>
  </si>
  <si>
    <t>1.1.1.4</t>
  </si>
  <si>
    <t>1.1.1.5</t>
  </si>
  <si>
    <t>1.1.1.6</t>
  </si>
  <si>
    <t>1.1.1.7</t>
  </si>
  <si>
    <t>1.1.2.3</t>
  </si>
  <si>
    <t>1.1.2.4</t>
  </si>
  <si>
    <t>1.1.2.5</t>
  </si>
  <si>
    <t>1.1.2.6</t>
  </si>
  <si>
    <t>1.1.2.7</t>
  </si>
  <si>
    <t>1.1.3.3</t>
  </si>
  <si>
    <t>1.1.3.4</t>
  </si>
  <si>
    <t>1.1.3.5</t>
  </si>
  <si>
    <t>1.1.3.6</t>
  </si>
  <si>
    <t>1.1.3.7</t>
  </si>
  <si>
    <t>1.1.4.3</t>
  </si>
  <si>
    <t>1.1.4.4</t>
  </si>
  <si>
    <t>1.1.4.5</t>
  </si>
  <si>
    <t>1.1.4.6</t>
  </si>
  <si>
    <t>1.1.4.7</t>
  </si>
  <si>
    <t>1.2.1.3</t>
  </si>
  <si>
    <t>1.2.1.4</t>
  </si>
  <si>
    <t>1.4.1.5</t>
  </si>
  <si>
    <t>1.2.1.5</t>
  </si>
  <si>
    <t>1.2.1.6</t>
  </si>
  <si>
    <t>1.2.1.7</t>
  </si>
  <si>
    <t>1.2.2.3</t>
  </si>
  <si>
    <t>1.2.2.4</t>
  </si>
  <si>
    <t>1.2.2.5</t>
  </si>
  <si>
    <t>1.2.2.6</t>
  </si>
  <si>
    <t>1.2.2.7</t>
  </si>
  <si>
    <t>1.3.1.3</t>
  </si>
  <si>
    <t>1.3.1.4</t>
  </si>
  <si>
    <t>1.3.1.5</t>
  </si>
  <si>
    <t>1.3.1.6</t>
  </si>
  <si>
    <t>1.3.1.7</t>
  </si>
  <si>
    <t>1.3.2.3</t>
  </si>
  <si>
    <t>1.3.2.5</t>
  </si>
  <si>
    <t>1.3.2.4</t>
  </si>
  <si>
    <t>1.3.2.6</t>
  </si>
  <si>
    <t>1.3.2.7</t>
  </si>
  <si>
    <t>1.4.1.3</t>
  </si>
  <si>
    <t>1.4.1.4</t>
  </si>
  <si>
    <t>1.4.1.6</t>
  </si>
  <si>
    <t>1.4.1.7</t>
  </si>
  <si>
    <t>1.4.2.3</t>
  </si>
  <si>
    <t>1.4.2.4</t>
  </si>
  <si>
    <t>1.4.2.5</t>
  </si>
  <si>
    <t>1.4.2.6</t>
  </si>
  <si>
    <t>1.4.2.7</t>
  </si>
  <si>
    <t>2.1.3</t>
  </si>
  <si>
    <t>2.1.4</t>
  </si>
  <si>
    <t>2.1.5</t>
  </si>
  <si>
    <t>2.2.3</t>
  </si>
  <si>
    <t>2.2.4</t>
  </si>
  <si>
    <t>2.2.5</t>
  </si>
  <si>
    <t>2.3.3</t>
  </si>
  <si>
    <t>2.3.4</t>
  </si>
  <si>
    <t>2.3.5</t>
  </si>
  <si>
    <t>2.S.1</t>
  </si>
  <si>
    <t>2.S.2</t>
  </si>
  <si>
    <t>2.S.3</t>
  </si>
  <si>
    <t>2.S.4</t>
  </si>
  <si>
    <t>2.S.4.1</t>
  </si>
  <si>
    <t>2.S.4.2</t>
  </si>
  <si>
    <t>2.S.4.3</t>
  </si>
  <si>
    <t>2.S.4.4</t>
  </si>
  <si>
    <t>2.S.5</t>
  </si>
  <si>
    <t xml:space="preserve">Kütuse energiasisaldus (primaarenergia) </t>
  </si>
  <si>
    <r>
      <t>Kütuse keskmine kütteväärtus</t>
    </r>
    <r>
      <rPr>
        <sz val="10"/>
        <color indexed="17"/>
        <rFont val="Times New Roman"/>
        <family val="1"/>
        <charset val="186"/>
      </rPr>
      <t xml:space="preserve"> </t>
    </r>
  </si>
  <si>
    <t>Keskmine tootmise kasutegur antud kütusega</t>
  </si>
  <si>
    <t>Rendikulud, tuh €</t>
  </si>
  <si>
    <t>12</t>
  </si>
  <si>
    <t>Kui põhjendatud tulukuse vahe ei ole null, siis kirjuta rea 12 väärtus reale 5. Vajaduse korral tee seda protseduuri uuesti kuni nulli saavutamiseni.</t>
  </si>
  <si>
    <t>vali loendist</t>
  </si>
  <si>
    <t>2.1.6</t>
  </si>
  <si>
    <t>2.3.6</t>
  </si>
  <si>
    <t>2.2.6</t>
  </si>
  <si>
    <t xml:space="preserve">Tootmismaht (võrku antud soojus) kokku </t>
  </si>
  <si>
    <t>Kas ettevõte kuulub kontserni?</t>
  </si>
  <si>
    <r>
      <rPr>
        <b/>
        <sz val="10"/>
        <color indexed="8"/>
        <rFont val="Times New Roman"/>
        <family val="1"/>
        <charset val="186"/>
      </rPr>
      <t>Katlamaja 1</t>
    </r>
    <r>
      <rPr>
        <sz val="10"/>
        <color indexed="8"/>
        <rFont val="Times New Roman"/>
        <family val="2"/>
        <charset val="186"/>
      </rPr>
      <t xml:space="preserve"> (</t>
    </r>
    <r>
      <rPr>
        <i/>
        <sz val="10"/>
        <color indexed="40"/>
        <rFont val="Times New Roman"/>
        <family val="1"/>
        <charset val="186"/>
      </rPr>
      <t>aadress</t>
    </r>
    <r>
      <rPr>
        <sz val="10"/>
        <color indexed="8"/>
        <rFont val="Times New Roman"/>
        <family val="2"/>
        <charset val="186"/>
      </rPr>
      <t>):</t>
    </r>
  </si>
  <si>
    <r>
      <rPr>
        <b/>
        <sz val="10"/>
        <color indexed="8"/>
        <rFont val="Times New Roman"/>
        <family val="1"/>
        <charset val="186"/>
      </rPr>
      <t>Katlamaja 2</t>
    </r>
    <r>
      <rPr>
        <sz val="10"/>
        <color indexed="8"/>
        <rFont val="Times New Roman"/>
        <family val="2"/>
        <charset val="186"/>
      </rPr>
      <t xml:space="preserve"> (</t>
    </r>
    <r>
      <rPr>
        <i/>
        <sz val="10"/>
        <color indexed="40"/>
        <rFont val="Times New Roman"/>
        <family val="1"/>
        <charset val="186"/>
      </rPr>
      <t>aadress</t>
    </r>
    <r>
      <rPr>
        <sz val="10"/>
        <color indexed="8"/>
        <rFont val="Times New Roman"/>
        <family val="2"/>
        <charset val="186"/>
      </rPr>
      <t>):</t>
    </r>
  </si>
  <si>
    <r>
      <rPr>
        <b/>
        <sz val="10"/>
        <color indexed="8"/>
        <rFont val="Times New Roman"/>
        <family val="1"/>
        <charset val="186"/>
      </rPr>
      <t>Katlamaja 3</t>
    </r>
    <r>
      <rPr>
        <sz val="10"/>
        <color indexed="8"/>
        <rFont val="Times New Roman"/>
        <family val="2"/>
        <charset val="186"/>
      </rPr>
      <t xml:space="preserve"> (</t>
    </r>
    <r>
      <rPr>
        <i/>
        <sz val="10"/>
        <color indexed="40"/>
        <rFont val="Times New Roman"/>
        <family val="1"/>
        <charset val="186"/>
      </rPr>
      <t>aadress</t>
    </r>
    <r>
      <rPr>
        <sz val="10"/>
        <color indexed="8"/>
        <rFont val="Times New Roman"/>
        <family val="2"/>
        <charset val="186"/>
      </rPr>
      <t>):</t>
    </r>
  </si>
  <si>
    <r>
      <rPr>
        <b/>
        <sz val="10"/>
        <color indexed="8"/>
        <rFont val="Times New Roman"/>
        <family val="1"/>
        <charset val="186"/>
      </rPr>
      <t>Katlamaja 4</t>
    </r>
    <r>
      <rPr>
        <sz val="10"/>
        <color indexed="8"/>
        <rFont val="Times New Roman"/>
        <family val="2"/>
        <charset val="186"/>
      </rPr>
      <t xml:space="preserve"> (</t>
    </r>
    <r>
      <rPr>
        <i/>
        <sz val="10"/>
        <color indexed="40"/>
        <rFont val="Times New Roman"/>
        <family val="1"/>
        <charset val="186"/>
      </rPr>
      <t>aadress</t>
    </r>
    <r>
      <rPr>
        <sz val="10"/>
        <color indexed="8"/>
        <rFont val="Times New Roman"/>
        <family val="2"/>
        <charset val="186"/>
      </rPr>
      <t>):</t>
    </r>
  </si>
  <si>
    <r>
      <t xml:space="preserve">Vee kogus </t>
    </r>
    <r>
      <rPr>
        <i/>
        <sz val="10"/>
        <rFont val="Times New Roman"/>
        <family val="1"/>
        <charset val="186"/>
      </rPr>
      <t>(</t>
    </r>
    <r>
      <rPr>
        <i/>
        <sz val="10"/>
        <color indexed="40"/>
        <rFont val="Times New Roman"/>
        <family val="1"/>
        <charset val="186"/>
      </rPr>
      <t>nimetada teenuse osutaja</t>
    </r>
    <r>
      <rPr>
        <i/>
        <sz val="10"/>
        <rFont val="Times New Roman"/>
        <family val="1"/>
        <charset val="186"/>
      </rPr>
      <t>)</t>
    </r>
  </si>
  <si>
    <r>
      <t xml:space="preserve">Kanalisatsiooni teenuse kogus </t>
    </r>
    <r>
      <rPr>
        <i/>
        <sz val="10"/>
        <rFont val="Times New Roman"/>
        <family val="1"/>
        <charset val="186"/>
      </rPr>
      <t>(</t>
    </r>
    <r>
      <rPr>
        <i/>
        <sz val="10"/>
        <color indexed="40"/>
        <rFont val="Times New Roman"/>
        <family val="1"/>
        <charset val="186"/>
      </rPr>
      <t>nimetada teenuse osutaja</t>
    </r>
    <r>
      <rPr>
        <i/>
        <sz val="10"/>
        <rFont val="Times New Roman"/>
        <family val="1"/>
        <charset val="186"/>
      </rPr>
      <t>)</t>
    </r>
  </si>
  <si>
    <t>Kehtiv kütuse korrektsioon ( ±)</t>
  </si>
  <si>
    <t>Kulud katlamajade, nendega seotud rajatiste ja territooriumite hoolduseks ja remondiks</t>
  </si>
  <si>
    <t>Sisseostetud soojuse 3 maksumus</t>
  </si>
  <si>
    <t>Nr.</t>
  </si>
  <si>
    <t>Investeeritud põhivara soetamisse</t>
  </si>
  <si>
    <t>Arvestatud põhivarade kulum</t>
  </si>
  <si>
    <t>sh allahindluse summa ja allahindluse korrigeerimise summa</t>
  </si>
  <si>
    <t>Müüdud põhivara soetusmaksumuses</t>
  </si>
  <si>
    <t>Müüdud põhivara jääkmaksumuses</t>
  </si>
  <si>
    <t>Likvideeritud põhivara soetusmaksumuses</t>
  </si>
  <si>
    <t>Likvideeritud põhivara jääkmaksumuses</t>
  </si>
  <si>
    <t xml:space="preserve">Ümber klassifitseeritud soetusmaksumuses </t>
  </si>
  <si>
    <t xml:space="preserve">Ümber klassifitseeritud jääkmaksumuses </t>
  </si>
  <si>
    <t xml:space="preserve">Muud muudatused põhivara arvestuses soetusmaksumuses </t>
  </si>
  <si>
    <t xml:space="preserve">Muud muudatused põhivara arvestuses jääkmaksumuses </t>
  </si>
  <si>
    <t>Lõpetamata ehitus</t>
  </si>
  <si>
    <t>Põhivara kuluminormid</t>
  </si>
  <si>
    <t>Hooned</t>
  </si>
  <si>
    <t>Rajatised</t>
  </si>
  <si>
    <t>Masinad ja seadmed</t>
  </si>
  <si>
    <t>Muu põhivara</t>
  </si>
  <si>
    <t>Põhivarade arvestus</t>
  </si>
  <si>
    <t>NB! Palume ettevõtjal täita kõik sinised ruudud!</t>
  </si>
  <si>
    <t>Kokku</t>
  </si>
  <si>
    <t>Kas on määratud kaugküttepiirkond?</t>
  </si>
  <si>
    <t>Kelle poolt, millal, otsuse või määruse number</t>
  </si>
  <si>
    <t>Soojusettevõtja esitab koos taotlusega alljärgnevad selgitused ja põhjendused koos asjakohase tõendava dokumentatsiooniga:</t>
  </si>
  <si>
    <t>Soojuse tootmise kulud keskkonnatasudele</t>
  </si>
  <si>
    <t>Võrgupiirkonna soojuse tootmise, jaotamise ja müügiga seotud tegevuskulud</t>
  </si>
  <si>
    <t>sh soetatud liitumistasude eest ja tagastamatu abi raames</t>
  </si>
  <si>
    <t>Soojusettevõtja lisab taotlusele renditavate põhivarade rendilepingu koopia.</t>
  </si>
  <si>
    <r>
      <t>1) andmed, mis tõendavad parima pakkumise alusel valitud kütuse sisseostuhinda (l</t>
    </r>
    <r>
      <rPr>
        <sz val="11"/>
        <color indexed="10"/>
        <rFont val="Times New Roman"/>
        <family val="1"/>
        <charset val="186"/>
      </rPr>
      <t>isada asjakohased hinnapakkumised ning sõlmitud lepingud);</t>
    </r>
  </si>
  <si>
    <t>Soojusettevõtja esitab alljärgnevad selgitused ja põhjendused (koos asjakohase tõendava dokumentatsiooniga):</t>
  </si>
  <si>
    <r>
      <t xml:space="preserve">2) selgitused </t>
    </r>
    <r>
      <rPr>
        <sz val="11"/>
        <color indexed="10"/>
        <rFont val="Times New Roman"/>
        <family val="1"/>
        <charset val="186"/>
      </rPr>
      <t>sisseostetud soojuse koguste ja osakaalude osas, lisada sõlmitud asjakohased lepingud;</t>
    </r>
  </si>
  <si>
    <t>Soojusettevõtja esitab alljärgnevad selgitused ja põhjendused:</t>
  </si>
  <si>
    <r>
      <t xml:space="preserve">1) </t>
    </r>
    <r>
      <rPr>
        <sz val="11"/>
        <color indexed="10"/>
        <rFont val="Times New Roman"/>
        <family val="1"/>
        <charset val="186"/>
      </rPr>
      <t>müügimahu muutuse põhjuste osas;</t>
    </r>
  </si>
  <si>
    <r>
      <t xml:space="preserve">4) erinevatest kütustest toodetud soojuse </t>
    </r>
    <r>
      <rPr>
        <sz val="11"/>
        <color indexed="10"/>
        <rFont val="Times New Roman"/>
        <family val="1"/>
        <charset val="186"/>
      </rPr>
      <t>või sisseostetud soojuse koguste ja osakaalude osas.</t>
    </r>
  </si>
  <si>
    <t>Rendikulud (soojuse tootmise ja jaotamise põhivarad)</t>
  </si>
  <si>
    <t>Elektrooniliselt edastatav taotlus allkirjastatakse digitaalselt (HMS §14 lg 4)</t>
  </si>
  <si>
    <t>Reguleeritud põhivara jääkväärtus aasta alguses, tuh €</t>
  </si>
  <si>
    <t>Reguleeritud põhivara jääkväärtus aasta lõpus, tuh €</t>
  </si>
  <si>
    <t>1) Üldandmed</t>
  </si>
  <si>
    <t>2) Algandmed</t>
  </si>
  <si>
    <t>3) Abitabel elekter</t>
  </si>
  <si>
    <t>4) Abitabel keskkonnatasud</t>
  </si>
  <si>
    <t>5) Muutuvkulud</t>
  </si>
  <si>
    <t>6) Tegevuskulud</t>
  </si>
  <si>
    <t>7) Põhivarad ja kapitalikulu</t>
  </si>
  <si>
    <t>8) Põhivarade järjepidev arvestus</t>
  </si>
  <si>
    <t>9) Renditud põhivarad</t>
  </si>
  <si>
    <t>10) Põhjendatud tulukus</t>
  </si>
  <si>
    <t>Ettevõtte (jooksev) majandusaasta:</t>
  </si>
  <si>
    <r>
      <t xml:space="preserve">3) juhul, kui soojuse tootmine toimub mitmes katlamajas ja erinevatest kütustest või lisaks toodetavale soojusele ostetakse soojust võrku, lisatakse </t>
    </r>
    <r>
      <rPr>
        <b/>
        <sz val="11"/>
        <color indexed="10"/>
        <rFont val="Times New Roman"/>
        <family val="1"/>
        <charset val="186"/>
      </rPr>
      <t xml:space="preserve">soojuskoormusgraafik kalendrikuude lõikes, </t>
    </r>
    <r>
      <rPr>
        <sz val="11"/>
        <color indexed="10"/>
        <rFont val="Times New Roman"/>
        <family val="1"/>
        <charset val="186"/>
      </rPr>
      <t>millelt peab ilmnema, millises järjekorras milline tootja, katlamaja, ja katlaseade soojust võrku toodavad;</t>
    </r>
  </si>
  <si>
    <t>Hinnavalemi kehtivuse lõpptähtaeg (dd.mm.yyyy):</t>
  </si>
  <si>
    <t>Soojuse hinda ei lülitata alljärgnevaid kulusid:</t>
  </si>
  <si>
    <t>1) ebatõenäoliselt laekuvate nõuete kulu;</t>
  </si>
  <si>
    <t>2) sponsorlus, kingitused ja annetused;</t>
  </si>
  <si>
    <t>4) põhitegevusega mitteseotud kulud;</t>
  </si>
  <si>
    <t>7) erisoodustuse kulud;</t>
  </si>
  <si>
    <t>9) majandusanalüüsi käigus teisi põhjendamatuks osutunud soojusettevõtja kulusid.</t>
  </si>
  <si>
    <r>
      <t xml:space="preserve">3) soojuse vahendajatele makstavad tasud </t>
    </r>
    <r>
      <rPr>
        <i/>
        <sz val="12"/>
        <color indexed="10"/>
        <rFont val="Times New Roman"/>
        <family val="1"/>
        <charset val="186"/>
      </rPr>
      <t>(nt vahendaja jagab soojuse korterite kaupa)</t>
    </r>
    <r>
      <rPr>
        <sz val="12"/>
        <color indexed="10"/>
        <rFont val="Times New Roman"/>
        <family val="1"/>
        <charset val="186"/>
      </rPr>
      <t>, sest vastavalt KKütS § 8 lg 1 ostab tarbija soojust võrguettevõtjalt, kelle võrguga tema valduses olev tarbijapaigaldis on ühendatud;</t>
    </r>
  </si>
  <si>
    <r>
      <t>8)</t>
    </r>
    <r>
      <rPr>
        <sz val="7"/>
        <color indexed="10"/>
        <rFont val="Times New Roman"/>
        <family val="1"/>
        <charset val="186"/>
      </rPr>
      <t xml:space="preserve"> </t>
    </r>
    <r>
      <rPr>
        <sz val="12"/>
        <color indexed="10"/>
        <rFont val="Times New Roman"/>
        <family val="1"/>
        <charset val="186"/>
      </rPr>
      <t>tulumaksukulud tulumaksuseaduse (RT I, 20.03.2013, 26) § 48-52 kohaselt;</t>
    </r>
  </si>
  <si>
    <r>
      <t xml:space="preserve">6) </t>
    </r>
    <r>
      <rPr>
        <sz val="12"/>
        <color indexed="10"/>
        <rFont val="Times New Roman"/>
        <family val="1"/>
        <charset val="186"/>
      </rPr>
      <t>finantskulud;</t>
    </r>
  </si>
  <si>
    <t>Tegevuskulud, mida ei lülitata soojuse hinda</t>
  </si>
  <si>
    <t>7.1</t>
  </si>
  <si>
    <t>7.2</t>
  </si>
  <si>
    <t>7.3</t>
  </si>
  <si>
    <t>7.4</t>
  </si>
  <si>
    <t>Kokku tegevuskulud, mida ei lülitata soojuse hinda</t>
  </si>
  <si>
    <r>
      <t xml:space="preserve">Soojuse tootmine, jaotamine ja müük, </t>
    </r>
    <r>
      <rPr>
        <sz val="9"/>
        <rFont val="Times New Roman"/>
        <family val="2"/>
        <charset val="186"/>
      </rPr>
      <t>mille suhtes KA rakendab hinna-regulatsiooni</t>
    </r>
  </si>
  <si>
    <t>Kui hinnavalemis on põhjendamatuid hinnakomponente, siis ettevõtja korrigeerib hinnavalemit.</t>
  </si>
  <si>
    <t>5) õigusaktide alusel ettevõtjale määratud trahve ja viiviseid;</t>
  </si>
  <si>
    <r>
      <t xml:space="preserve">2) </t>
    </r>
    <r>
      <rPr>
        <sz val="11"/>
        <color indexed="10"/>
        <rFont val="Times New Roman"/>
        <family val="1"/>
        <charset val="186"/>
      </rPr>
      <t>tootmise kasuteguri muutuse põhjuste osas, juhul kui see planeeritakse erinevaks võrreldes varasemaga või kui tootmise kasutegur ei ole kooskõlas efektiivsusnõuetega (vt Soojuse Määrus);</t>
    </r>
  </si>
  <si>
    <t>Koostaja nimi, telefon ja e-mail:</t>
  </si>
  <si>
    <t>Soojuse tootmise-, jaotamise- ja müügiga seotud tegevuskulud kokku</t>
  </si>
  <si>
    <t>7.3.1</t>
  </si>
  <si>
    <t>7.3.2</t>
  </si>
  <si>
    <t xml:space="preserve">6) kuidas ja kelle poolt toimub tuha utiliseerimine (sh selgitatakse, kus tuhk ladustatakse), esitatakse asjakohased lepingud.; </t>
  </si>
  <si>
    <t>7) juhul, kui soojuse tootmiseks vajatakse kasvuhoonegaaside heitkoguse ühikuid, esitatakse arvestus tasuta lubatud heitkoguse ühikute kasutamise osas ja lisatakse selgitused, millises koguses ja millise eeldatava hinnaga puudujäävad heitkoguse ühikud ostetakse.</t>
  </si>
  <si>
    <t>HALDUSAKTI KÄTTETOIMETAMISE VIIS JA SELLEKS VAJALIKUD KONTAKTANDMED (HMS § 14 lg 3 p 4):</t>
  </si>
  <si>
    <r>
      <t xml:space="preserve">1) </t>
    </r>
    <r>
      <rPr>
        <sz val="11"/>
        <color indexed="10"/>
        <rFont val="Times New Roman"/>
        <family val="1"/>
        <charset val="186"/>
      </rPr>
      <t>müügimahu, trassikadude, tootmise kasuteguri, toodetud ja sisseostetud soojuse (lisada asjakohased lepingud) koguste ja osakaalude osas jne (vt täpsemad juhised tabelite all);</t>
    </r>
  </si>
  <si>
    <r>
      <t xml:space="preserve">2) </t>
    </r>
    <r>
      <rPr>
        <sz val="11"/>
        <color indexed="10"/>
        <rFont val="Times New Roman"/>
        <family val="1"/>
        <charset val="186"/>
      </rPr>
      <t>muude muutuvkulude osas (lisada asjakohased lepingud, vt täpsemad juhised tabelite all);</t>
    </r>
  </si>
  <si>
    <t xml:space="preserve">NB! Kontrolli, kas: </t>
  </si>
  <si>
    <t>ENNE TABELITE TÄITMIST SOOVITAME TUTVUDA:</t>
  </si>
  <si>
    <t>2) Soojuse piirhinna kooskõlastamise põhimõtted</t>
  </si>
  <si>
    <t>4) Kaugkütteseadus</t>
  </si>
  <si>
    <t>SOOJUSE PIIRHINNA RAKENDAMISE AEG (dd.mm.yyyy):</t>
  </si>
  <si>
    <t>Samuti esitatakse teostatud investeeringute loetelu aastate lõikes ning tuuakse välja soetatud põhivarade nimetus, soetusaeg, soetusmaksumus, raamatupidamisarvestuses rakendatav amortisatsioonimäär (%). Teostatud investeeringute summad aastate lõikes peavad ühtima ülaloleva tabeli real 3 toodud summaga.</t>
  </si>
  <si>
    <t>Kuluminorm</t>
  </si>
  <si>
    <t>1) saastetasumäär on vastavuses perioodiga, milleks hinda taotletakse (regulatsiooniperioodiga). Sisesta õige aastaarv.</t>
  </si>
  <si>
    <t>Turvas:</t>
  </si>
  <si>
    <t>4) milliselt vee-ettevõtjalt ja millise hinnakirja alusel ostetakse vee- ja kanalisatsiooniteenust; (sh selgitatakse, kui suures osas tarbitud vesi kanaliseeritakse);</t>
  </si>
  <si>
    <t xml:space="preserve">5) milliselt ettevõtjalt ostetakse liiva, kuidas ja kelle poolt kasutatud liiv utiliseeritakse; esitatakse asjakohased lepingud; </t>
  </si>
  <si>
    <t>Soojuse tootmise ja jaotamise elektrienergia kulu arvestus</t>
  </si>
  <si>
    <t>Soojuse tootmise ja jaotamise elektrienergia kogus kokku</t>
  </si>
  <si>
    <t>Jaotamine ja müük:</t>
  </si>
  <si>
    <t>Elektrienergia maksumus</t>
  </si>
  <si>
    <t>Keskmine elektrienergia ostuhind (tariif)</t>
  </si>
  <si>
    <t>Välisõhu saastetasude arvutus (alla 10 MW võimsusega katelde korral)</t>
  </si>
  <si>
    <t>2) saasteainete eriheited peavad vastama kasutatavale tehnoloogiale ja keskkonnaloas märgitule, vajadusel korrigeerida näidistabelis toodud andmeid.</t>
  </si>
  <si>
    <t>Keskmine ettevõtte põhivarade kuluminorm</t>
  </si>
  <si>
    <t>SOOJUSETTEVÕTJA MÄRGIB, KAS TAOTLETAKSE HINNAVALEMIT JA MILLISEKS TÄHTAJAKS</t>
  </si>
  <si>
    <t>link www.konkurentsiamet.ee</t>
  </si>
  <si>
    <t>Saastetasu- määrad, €/tonn</t>
  </si>
  <si>
    <t>Kokku, tuh €</t>
  </si>
  <si>
    <t>Amortiseeritava reguleeritava põhivara keskmine kapitalikulunorm</t>
  </si>
  <si>
    <t>Reguleeritava vara ja kapitalikulu arvestus:</t>
  </si>
  <si>
    <t>NB! Tabelis "Põhivarade arvestus" kajastatakse soojusettevõtja raamatupidamisarvestusel põhinev põhivarade arvestus.</t>
  </si>
  <si>
    <t>Nr</t>
  </si>
  <si>
    <t>Investeeringud põhivarasse</t>
  </si>
  <si>
    <t>Reguleeritava vara ja kapitalikulu arvestus Metoodika punktides 6.6 ja 6.11 sätestatud juhtudel</t>
  </si>
  <si>
    <t>Pärast piiraastat soetatud põhivara soetusmaksumus</t>
  </si>
  <si>
    <t>Pärast piiraastat soetatud põhivara jääkmaksumus</t>
  </si>
  <si>
    <t>Enne piiraastat soetatud põhivara jääkmaksumus (=algväärtus)</t>
  </si>
  <si>
    <t>Enne piiraastat soetatud põhivara jääkmaksumus (=algväärtus-enne piiraastat soetatud põhivara kapitalikulu)</t>
  </si>
  <si>
    <r>
      <t>RV</t>
    </r>
    <r>
      <rPr>
        <b/>
        <sz val="7"/>
        <rFont val="Times New Roman"/>
        <family val="1"/>
        <charset val="186"/>
      </rPr>
      <t>0</t>
    </r>
  </si>
  <si>
    <r>
      <t>norm</t>
    </r>
    <r>
      <rPr>
        <b/>
        <sz val="7"/>
        <color indexed="8"/>
        <rFont val="Times New Roman"/>
        <family val="1"/>
        <charset val="186"/>
      </rPr>
      <t>enne p.a</t>
    </r>
  </si>
  <si>
    <r>
      <t>RV</t>
    </r>
    <r>
      <rPr>
        <b/>
        <sz val="7"/>
        <rFont val="Times New Roman"/>
        <family val="1"/>
        <charset val="186"/>
      </rPr>
      <t>1</t>
    </r>
  </si>
  <si>
    <t>Enne piiraastat soetatud põhivara kapitalikulunorm</t>
  </si>
  <si>
    <t>Enne piiraastat soetatud põhivara kapitalikulu</t>
  </si>
  <si>
    <r>
      <t>PVjääkm</t>
    </r>
    <r>
      <rPr>
        <b/>
        <sz val="7"/>
        <rFont val="Times New Roman"/>
        <family val="1"/>
        <charset val="186"/>
      </rPr>
      <t>enne p.a</t>
    </r>
  </si>
  <si>
    <r>
      <t>PVjääkm</t>
    </r>
    <r>
      <rPr>
        <b/>
        <sz val="7"/>
        <rFont val="Times New Roman"/>
        <family val="1"/>
        <charset val="186"/>
      </rPr>
      <t>pärast p.a</t>
    </r>
  </si>
  <si>
    <r>
      <t>A</t>
    </r>
    <r>
      <rPr>
        <b/>
        <sz val="7"/>
        <rFont val="Times New Roman"/>
        <family val="1"/>
        <charset val="186"/>
      </rPr>
      <t>enne p.a</t>
    </r>
  </si>
  <si>
    <t>Pärast piiraastat soetatud põhivara kapitalikulunorm</t>
  </si>
  <si>
    <r>
      <t>A</t>
    </r>
    <r>
      <rPr>
        <b/>
        <sz val="7"/>
        <rFont val="Times New Roman"/>
        <family val="1"/>
        <charset val="186"/>
      </rPr>
      <t>pärast p.a</t>
    </r>
  </si>
  <si>
    <r>
      <t>norm</t>
    </r>
    <r>
      <rPr>
        <b/>
        <sz val="7"/>
        <color indexed="8"/>
        <rFont val="Times New Roman"/>
        <family val="1"/>
        <charset val="186"/>
      </rPr>
      <t>pärast p.a</t>
    </r>
  </si>
  <si>
    <t>Pärast piiraastat soetatud põhivara kapitalikulu</t>
  </si>
  <si>
    <t>Kapitalikulu kokku</t>
  </si>
  <si>
    <t>I</t>
  </si>
  <si>
    <t>Müüdud või mahakantud põhivara</t>
  </si>
  <si>
    <t>M</t>
  </si>
  <si>
    <t>A</t>
  </si>
  <si>
    <t xml:space="preserve">Reguleeritava vara jääkväärtus 12-kuulise perioodi alguses </t>
  </si>
  <si>
    <t xml:space="preserve">Reguleeritava vara jääkväärtus 12-kuulise perioodi lõpus </t>
  </si>
  <si>
    <t>NB! Põhjendatud tulukuse arvutus lähtudes reguleeritava vara arvestusest Metoodika punktides 6.6 ja 6.11 sätestatud juhtudel</t>
  </si>
  <si>
    <t>NB! Tabel täidetakse juhul, kui soojusettevõtja reguleeritava vara arvestus 12-kuulise perioodi alguses või lõpus ei ühti soojusettevõtja raamatupidamisarvestuses kajastatud põhivarade jääkmaksumusega.</t>
  </si>
  <si>
    <t>link Juhend kaalutud keskmise kapitali hinna (WACC) arvutamiseks</t>
  </si>
  <si>
    <t>Rendikulu reguleeritavalt varalt</t>
  </si>
  <si>
    <r>
      <t>Alumine kütteväärtus, MWh/tuh m</t>
    </r>
    <r>
      <rPr>
        <vertAlign val="superscript"/>
        <sz val="10"/>
        <color indexed="8"/>
        <rFont val="Times New Roman"/>
        <family val="1"/>
        <charset val="186"/>
      </rPr>
      <t>3</t>
    </r>
  </si>
  <si>
    <t>Alumine kütteväärtus, MWh/tonn</t>
  </si>
  <si>
    <r>
      <t>Alumine kütteväärtus, MWh/pm</t>
    </r>
    <r>
      <rPr>
        <vertAlign val="superscript"/>
        <sz val="10"/>
        <color indexed="8"/>
        <rFont val="Times New Roman"/>
        <family val="1"/>
        <charset val="186"/>
      </rPr>
      <t>3</t>
    </r>
  </si>
  <si>
    <r>
      <t>Alumine kütteväärtus, MWh/m</t>
    </r>
    <r>
      <rPr>
        <vertAlign val="superscript"/>
        <sz val="10"/>
        <color indexed="8"/>
        <rFont val="Times New Roman"/>
        <family val="1"/>
        <charset val="186"/>
      </rPr>
      <t>3</t>
    </r>
  </si>
  <si>
    <t>3) Juhend kaalutud keskmise kapitali hinna (WACC) arvutamiseks</t>
  </si>
  <si>
    <t>1) Hinna- või järelevalvemenetluse läbiviimiseks vajalike andmete esitamise juhend soojusettevõtjatele</t>
  </si>
  <si>
    <t>1) asjakohased elektrienergia- ja võrguteenuse ostulepingud;</t>
  </si>
  <si>
    <t>3) elektrienergia tarbimisteatise viimase lõppenud majandusaasta kohta kuude lõikes.</t>
  </si>
  <si>
    <t>4) investeeringute osas (vt täpsemad juhised tabelite all);</t>
  </si>
  <si>
    <r>
      <t xml:space="preserve">Juhul, kui ettevõtja ei selgita ega põhjenda piirhinna moodustamise aluseid (KKütS § 9 lg 6), mis on vajalik taotletava hinna kooskõlastamiseks, </t>
    </r>
    <r>
      <rPr>
        <b/>
        <u/>
        <sz val="11"/>
        <color indexed="10"/>
        <rFont val="Times New Roman"/>
        <family val="1"/>
        <charset val="186"/>
      </rPr>
      <t>loeb Konkurentsiamet esitatud taotluse puudustega taotluseks (HMS § 15 lg 2 mõttes) ega alusta selle menetlemist enne puuduste likvideerimist. Menetlustähtaeg loetakse alanuks alates nõuetekohase taotluse registreerimisest (kooskõlas HMS § 33 lg 2).</t>
    </r>
  </si>
  <si>
    <t>2) andmed, mis tõendavad parima pakkumise alusel valitud elektrienergia sisseostuhinda (võrdlevad hinnapakkumised);</t>
  </si>
  <si>
    <t>5) hinnakomponentide osas, mida varasemalt jõustunud haldusaktis Konkurentsiamet ei ole lugenud põhjendatuks või on seadnud ettevõtjale kohustuse efektiivsuse tõhustamiseks.</t>
  </si>
  <si>
    <t>kehtivad alates</t>
  </si>
  <si>
    <t>Hakkpuit:</t>
  </si>
  <si>
    <r>
      <t>Hakkpuidu kogus, pm</t>
    </r>
    <r>
      <rPr>
        <vertAlign val="superscript"/>
        <sz val="10"/>
        <color indexed="8"/>
        <rFont val="Times New Roman"/>
        <family val="1"/>
        <charset val="186"/>
      </rPr>
      <t>3</t>
    </r>
  </si>
  <si>
    <t>Võrguühenduse kuutasu</t>
  </si>
  <si>
    <t>Võrguühenduse kasutusvõimsus</t>
  </si>
  <si>
    <t>Kulud töövahenditele ja mõõtetehnikale</t>
  </si>
  <si>
    <t>KOKKU TEGEVUSKULUD</t>
  </si>
  <si>
    <t>Kulud soojustrasside hoolduseks ja remondiks</t>
  </si>
  <si>
    <t>Soojuse jaotamise- ja müügiga seotud tööjõukulud koos maksudega</t>
  </si>
  <si>
    <t>Tarbijate poolt tasutud liitumistasude eest ja tagastamatu abi raames soetatud põhivarad</t>
  </si>
  <si>
    <r>
      <t xml:space="preserve">Juhul, kui soojusettevõtja on Konkurentsiametiga kooskõlastanud hinnataotluse esitamise ajal kehtiva soojuse piirhinna varem (näiteks aastal 2010), kui "majandusaasta miinus 3 aastat" tagasi (näiteks taotletakse hinda 2014. aasta märtsis, ning tabelites kajastatakse 2013, 2012 ja 2011 aastate arvandmed), siis </t>
    </r>
    <r>
      <rPr>
        <b/>
        <sz val="12"/>
        <color indexed="10"/>
        <rFont val="Times New Roman"/>
        <family val="1"/>
        <charset val="186"/>
      </rPr>
      <t>lisatakse tabelisse lisaveerud</t>
    </r>
    <r>
      <rPr>
        <sz val="12"/>
        <color indexed="10"/>
        <rFont val="Times New Roman"/>
        <family val="2"/>
        <charset val="186"/>
      </rPr>
      <t xml:space="preserve">, milles kajastatakse põhivarade liikumine perioodil, mis ülaltoodud tabelist puudub (st eeltoodud näite asjaolude korral lisatakse tabelisse ka põhivarade liikumine aastatel 2009 ja 2010). </t>
    </r>
  </si>
  <si>
    <t>Kinnitan, et käesolevas taotluses ning KA-le elektroonselt esitatud tabelites:</t>
  </si>
  <si>
    <t>Välisõhu saastetasud kokku, tuh €</t>
  </si>
  <si>
    <t>Elektrienergia maksumus kokku, tuh €</t>
  </si>
  <si>
    <t>Soojusettevõtja esitab koos taotlusega:</t>
  </si>
  <si>
    <t>Summa, tuh €</t>
  </si>
  <si>
    <r>
      <t xml:space="preserve">3) </t>
    </r>
    <r>
      <rPr>
        <sz val="11"/>
        <color indexed="10"/>
        <rFont val="Times New Roman"/>
        <family val="1"/>
        <charset val="186"/>
      </rPr>
      <t>tegevuskulude (sh üldjuhtimiskulude jaotamine) osas (vt täpsemad juhised tabelite all);</t>
    </r>
  </si>
  <si>
    <t>Konkurentsiamet edastab haldusakti elektronposti aadressile, mis on avaldatud Äriregistris ja millelt taotlus saabus, juhul kui taotluses ei ole märgitud teistlaadi kättetoimetamisviisi (HMS § 25 lg 1) või elektronposti aadressi</t>
  </si>
  <si>
    <t>VÕRGUPIIRKONNA NIMETUS:</t>
  </si>
  <si>
    <t>Tatari 39</t>
  </si>
  <si>
    <t>10134 Tallinn</t>
  </si>
  <si>
    <t>Soojuse tootmise reguleeritav põhivara</t>
  </si>
  <si>
    <t>S.8</t>
  </si>
  <si>
    <t>S.9</t>
  </si>
  <si>
    <t>S.10</t>
  </si>
  <si>
    <t>S.11</t>
  </si>
  <si>
    <t>S.12</t>
  </si>
  <si>
    <t>S.13</t>
  </si>
  <si>
    <t>S.14</t>
  </si>
  <si>
    <t>Kokku perioodi investeeringud soojuse tootmise põhivarasse</t>
  </si>
  <si>
    <t>Kokku perioodi investeeringud soojuse tootmise reguleeritavasse põhivarasse</t>
  </si>
  <si>
    <t>6.6</t>
  </si>
  <si>
    <t>6.7</t>
  </si>
  <si>
    <t>6.8</t>
  </si>
  <si>
    <t>6.9</t>
  </si>
  <si>
    <t>6.10</t>
  </si>
  <si>
    <t>Soojuse jaotamise ja müügi reguleeritav põhivara</t>
  </si>
  <si>
    <t>Soojuse jaotamise ja müügi põhivarad kokku</t>
  </si>
  <si>
    <r>
      <t xml:space="preserve">Soojuse tootmise põhivarad kokku </t>
    </r>
    <r>
      <rPr>
        <sz val="10"/>
        <color indexed="8"/>
        <rFont val="Times New Roman"/>
        <family val="1"/>
        <charset val="186"/>
      </rPr>
      <t>(sh maa)</t>
    </r>
  </si>
  <si>
    <t>Kokku perioodi investeeringud soojuse jaotamise ja müügi põhivarasse</t>
  </si>
  <si>
    <t>Kokku perioodi investeeringud soojuse jaotamise ja müügi reguleeritavasse põhivarasse</t>
  </si>
  <si>
    <t>KOKKU</t>
  </si>
  <si>
    <t>soojuse tootmine</t>
  </si>
  <si>
    <t>soojuse jaotamine ja müük</t>
  </si>
  <si>
    <t>S.15</t>
  </si>
  <si>
    <r>
      <t xml:space="preserve">Kokku perioodi investeeringud reguleeritavasse põhivarasse </t>
    </r>
    <r>
      <rPr>
        <sz val="10"/>
        <color indexed="8"/>
        <rFont val="Times New Roman"/>
        <family val="1"/>
        <charset val="186"/>
      </rPr>
      <t>(S.11 + S.14)</t>
    </r>
  </si>
  <si>
    <r>
      <t xml:space="preserve">KOKKU REGULEERITAV PÕHIVARA </t>
    </r>
    <r>
      <rPr>
        <sz val="10"/>
        <color indexed="8"/>
        <rFont val="Times New Roman"/>
        <family val="1"/>
        <charset val="186"/>
      </rPr>
      <t>(ilma liitumistasude ja tagastamatu abita; S.8 + S.15)</t>
    </r>
  </si>
  <si>
    <r>
      <t xml:space="preserve">Reguleeritav põhivara kokku </t>
    </r>
    <r>
      <rPr>
        <sz val="10"/>
        <color indexed="8"/>
        <rFont val="Times New Roman"/>
        <family val="1"/>
        <charset val="186"/>
      </rPr>
      <t>(S.4 + S.7)</t>
    </r>
  </si>
  <si>
    <t>Soojuse tootmise reguleeritud põhivara jääkväärtus aasta lõpus, tuh €</t>
  </si>
  <si>
    <t>Soojuse jaotamise ja müügi reguleeritud põhivara jääkväärtus aasta lõpus, tuh €</t>
  </si>
  <si>
    <t>WACC võrguettevõtjatele, %</t>
  </si>
  <si>
    <t>WACC soojuse tootjatele, %</t>
  </si>
  <si>
    <t>13</t>
  </si>
  <si>
    <t>Põhivara soetusmaksumus aasta alguses</t>
  </si>
  <si>
    <t>Põhivara jääkmaksumus aasta alguses</t>
  </si>
  <si>
    <t>Põhivara soetusmaksumus aasta lõpus</t>
  </si>
  <si>
    <t>Põhivara jääkmaksumus aasta lõpus</t>
  </si>
  <si>
    <t>Põhivara soetusmaksumus aasta lõpus koos lõpetamata ehitisega</t>
  </si>
  <si>
    <t>Põhivara jääkmaksumus aasta lõpus koos lõpetamata ehitisega</t>
  </si>
  <si>
    <t>Kui põhjendatud tulukuse vahe ei ole null, siis kirjuta rea 13 väärtus reale 5. Vajaduse korral tee seda protseduuri uuesti kuni nulli saavutamiseni.</t>
  </si>
  <si>
    <t>4.20</t>
  </si>
  <si>
    <t>2.20</t>
  </si>
  <si>
    <t xml:space="preserve">Renditud soojuse tootmis-, jaotamis- ja müügitegevusega seotud põhivarad </t>
  </si>
  <si>
    <r>
      <t xml:space="preserve">Soojuse tootmisega seotud renditud põhivarad kokku </t>
    </r>
    <r>
      <rPr>
        <sz val="10"/>
        <color indexed="8"/>
        <rFont val="Times New Roman"/>
        <family val="1"/>
        <charset val="186"/>
      </rPr>
      <t>(sh maa)</t>
    </r>
  </si>
  <si>
    <t>Soojuse tootmise renditud reguleeritav põhivara</t>
  </si>
  <si>
    <r>
      <t xml:space="preserve">Reguleeritav renditud põhivara kokku </t>
    </r>
    <r>
      <rPr>
        <sz val="10"/>
        <color indexed="8"/>
        <rFont val="Times New Roman"/>
        <family val="1"/>
        <charset val="186"/>
      </rPr>
      <t>(S.4 + S.7)</t>
    </r>
  </si>
  <si>
    <t>Soojuse jaotamis- ja müügitegevuse renditud põhivarad kokku</t>
  </si>
  <si>
    <t>Soojuse jaotamis- ja müügitegevuse renditud reguleeritav põhivara</t>
  </si>
  <si>
    <t xml:space="preserve">Investeeringud soojuse jaotamis- ja müügitegevuse renditud põhivarasse </t>
  </si>
  <si>
    <t>Kokku perioodi investeeringud soojuse tootmise renditud reguleeritavasse põhivarasse</t>
  </si>
  <si>
    <t>Kokku perioodi investeeringud soojuse jaotamis- ja müügitegevuse renditud reguleeritavasse põhivarasse</t>
  </si>
  <si>
    <r>
      <t xml:space="preserve">Kokku perioodi investeeringud renditud reguleeritavasse põhivarasse </t>
    </r>
    <r>
      <rPr>
        <sz val="10"/>
        <color indexed="8"/>
        <rFont val="Times New Roman"/>
        <family val="1"/>
        <charset val="186"/>
      </rPr>
      <t>(S.11 + S.14)</t>
    </r>
  </si>
  <si>
    <r>
      <t xml:space="preserve">KOKKU RENDITUD REGULEERITAV PÕHIVARA </t>
    </r>
    <r>
      <rPr>
        <sz val="10"/>
        <color indexed="8"/>
        <rFont val="Times New Roman"/>
        <family val="1"/>
        <charset val="186"/>
      </rPr>
      <t>(ilma liitumistasude ja tagastamatu abita; S.8 + S.15)</t>
    </r>
  </si>
  <si>
    <t xml:space="preserve">Investeeringud soojuse tootmise renditavasse põhivarasse </t>
  </si>
  <si>
    <t>Kokku perioodi investeeringud soojuse tootmise renditavasse põhivarasse</t>
  </si>
  <si>
    <t>Kokku perioodi investeeringud soojuse jaotamis- ja müügitegevuse renditavasse põhivarasse</t>
  </si>
  <si>
    <t>Põhjendatud tulukus kokku</t>
  </si>
  <si>
    <t>WACC *</t>
  </si>
  <si>
    <t>Hind</t>
  </si>
  <si>
    <t>Elektrienergia põhihind</t>
  </si>
  <si>
    <t>Elektrienergia päevahind</t>
  </si>
  <si>
    <t>Elektrienergia ööhind</t>
  </si>
  <si>
    <t>Võrguteenuse põhihind</t>
  </si>
  <si>
    <t>Võrguteenuse päevahind</t>
  </si>
  <si>
    <t>Võrguteenuse ööhind</t>
  </si>
  <si>
    <t>Keskmine elektrienergia ostuhind</t>
  </si>
  <si>
    <t>Järelevalvetasu*</t>
  </si>
  <si>
    <t>sh järelevalvetasu</t>
  </si>
  <si>
    <t xml:space="preserve">Kulud soojuse 1 sisseostuks </t>
  </si>
  <si>
    <t xml:space="preserve">Kulud soojuse 2 sisseostuks </t>
  </si>
  <si>
    <t xml:space="preserve">Kulud soojuse 3 sisseostuks </t>
  </si>
  <si>
    <t xml:space="preserve">Kulud soojuse 4 sisseostuks </t>
  </si>
  <si>
    <t>Kulud elektrienergiale</t>
  </si>
  <si>
    <t>Muud kulud (kemikaalid, vesi- ja kanalisatsiooniteenus, jt)</t>
  </si>
  <si>
    <t>TAOTLUS SOOJUSE PIIRHINNA KOOSKÕLASTAMISEKS</t>
  </si>
  <si>
    <t>sh soojuse tootmiseks</t>
  </si>
  <si>
    <t>sh soojuse jaotamiseks</t>
  </si>
  <si>
    <t>Kulud ilma kütuste, sisseostetud soojuse ja elektrienergia kuludeta</t>
  </si>
  <si>
    <r>
      <t>*) Konkurentsiseaduse § 53</t>
    </r>
    <r>
      <rPr>
        <vertAlign val="superscript"/>
        <sz val="10"/>
        <color rgb="FF000000"/>
        <rFont val="Times New Roman"/>
        <family val="1"/>
        <charset val="186"/>
      </rPr>
      <t>1</t>
    </r>
    <r>
      <rPr>
        <sz val="10"/>
        <color rgb="FF000000"/>
        <rFont val="Times New Roman"/>
        <family val="1"/>
        <charset val="186"/>
      </rPr>
      <t xml:space="preserve"> ja § 53</t>
    </r>
    <r>
      <rPr>
        <vertAlign val="superscript"/>
        <sz val="10"/>
        <color rgb="FF000000"/>
        <rFont val="Times New Roman"/>
        <family val="1"/>
        <charset val="186"/>
      </rPr>
      <t>2</t>
    </r>
    <r>
      <rPr>
        <sz val="10"/>
        <color rgb="FF000000"/>
        <rFont val="Times New Roman"/>
        <family val="1"/>
        <charset val="186"/>
      </rPr>
      <t xml:space="preserve"> alusel kaugkütteseadusega reguleeritud turul tegutsevad ettevõtjad tasuvad Konkurentsiametile järelevalve tasu 0,2% haldusaktis märgitud müügitulust</t>
    </r>
  </si>
  <si>
    <t>Elektrienergia tegur</t>
  </si>
  <si>
    <t>Elektrienergia börsihind</t>
  </si>
  <si>
    <t>1.20</t>
  </si>
  <si>
    <r>
      <t>- sh sisseostetud soojus 1 (</t>
    </r>
    <r>
      <rPr>
        <i/>
        <sz val="10"/>
        <color indexed="40"/>
        <rFont val="Times New Roman"/>
        <family val="1"/>
        <charset val="186"/>
      </rPr>
      <t>nimetada tootja</t>
    </r>
    <r>
      <rPr>
        <sz val="10"/>
        <color indexed="8"/>
        <rFont val="Times New Roman"/>
        <family val="1"/>
        <charset val="186"/>
      </rPr>
      <t>)</t>
    </r>
  </si>
  <si>
    <r>
      <t>- sh sisseostetud soojus 2 (</t>
    </r>
    <r>
      <rPr>
        <i/>
        <sz val="10"/>
        <color indexed="40"/>
        <rFont val="Times New Roman"/>
        <family val="1"/>
        <charset val="186"/>
      </rPr>
      <t>nimetada tootja</t>
    </r>
    <r>
      <rPr>
        <sz val="10"/>
        <color indexed="8"/>
        <rFont val="Times New Roman"/>
        <family val="1"/>
        <charset val="186"/>
      </rPr>
      <t>)</t>
    </r>
  </si>
  <si>
    <r>
      <t>- sh sisseostetud soojus 3 (</t>
    </r>
    <r>
      <rPr>
        <i/>
        <sz val="10"/>
        <color indexed="40"/>
        <rFont val="Times New Roman"/>
        <family val="1"/>
        <charset val="186"/>
      </rPr>
      <t>nimetada tootja</t>
    </r>
    <r>
      <rPr>
        <sz val="10"/>
        <color indexed="8"/>
        <rFont val="Times New Roman"/>
        <family val="1"/>
        <charset val="186"/>
      </rPr>
      <t>)</t>
    </r>
  </si>
  <si>
    <r>
      <t>- sh sisseostetud soojus 4 (</t>
    </r>
    <r>
      <rPr>
        <i/>
        <sz val="10"/>
        <color indexed="40"/>
        <rFont val="Times New Roman"/>
        <family val="1"/>
        <charset val="186"/>
      </rPr>
      <t>nimetada tootja</t>
    </r>
    <r>
      <rPr>
        <sz val="10"/>
        <color indexed="8"/>
        <rFont val="Times New Roman"/>
        <family val="1"/>
        <charset val="186"/>
      </rPr>
      <t>)</t>
    </r>
  </si>
  <si>
    <t>- sh KA reguleeritud hinda sisaldavad</t>
  </si>
  <si>
    <t>- sh muud</t>
  </si>
  <si>
    <t>- sh rekonstrueeritud (eelisoleeritud torud)</t>
  </si>
  <si>
    <t xml:space="preserve"> - sh soojuse tootmiseks</t>
  </si>
  <si>
    <t xml:space="preserve"> - sh soojuse jaotamiseks</t>
  </si>
  <si>
    <t>- kütuse liik</t>
  </si>
  <si>
    <t>- võimsus</t>
  </si>
  <si>
    <r>
      <t>katel 1 (</t>
    </r>
    <r>
      <rPr>
        <i/>
        <sz val="10"/>
        <color indexed="40"/>
        <rFont val="Times New Roman"/>
        <family val="1"/>
        <charset val="186"/>
      </rPr>
      <t>ehitusaasta, katla tootja või nimetus</t>
    </r>
    <r>
      <rPr>
        <sz val="10"/>
        <color indexed="8"/>
        <rFont val="Times New Roman"/>
        <family val="2"/>
        <charset val="186"/>
      </rPr>
      <t>):</t>
    </r>
  </si>
  <si>
    <r>
      <t>katel 2 (</t>
    </r>
    <r>
      <rPr>
        <i/>
        <sz val="10"/>
        <color indexed="40"/>
        <rFont val="Times New Roman"/>
        <family val="1"/>
        <charset val="186"/>
      </rPr>
      <t>ehitusaasta, katla tootja või nimetus</t>
    </r>
    <r>
      <rPr>
        <sz val="10"/>
        <color indexed="8"/>
        <rFont val="Times New Roman"/>
        <family val="2"/>
        <charset val="186"/>
      </rPr>
      <t>):</t>
    </r>
  </si>
  <si>
    <r>
      <t>katel 3 (</t>
    </r>
    <r>
      <rPr>
        <i/>
        <sz val="10"/>
        <color indexed="40"/>
        <rFont val="Times New Roman"/>
        <family val="1"/>
        <charset val="186"/>
      </rPr>
      <t>ehitusaasta, katla tootja või nimetus</t>
    </r>
    <r>
      <rPr>
        <sz val="10"/>
        <color indexed="8"/>
        <rFont val="Times New Roman"/>
        <family val="2"/>
        <charset val="186"/>
      </rPr>
      <t>):</t>
    </r>
  </si>
  <si>
    <r>
      <t>katel 4 (</t>
    </r>
    <r>
      <rPr>
        <i/>
        <sz val="10"/>
        <color indexed="40"/>
        <rFont val="Times New Roman"/>
        <family val="1"/>
        <charset val="186"/>
      </rPr>
      <t>ehitusaasta, katla tootja või nimetus</t>
    </r>
    <r>
      <rPr>
        <sz val="10"/>
        <color indexed="8"/>
        <rFont val="Times New Roman"/>
        <family val="2"/>
        <charset val="186"/>
      </rPr>
      <t>):</t>
    </r>
  </si>
  <si>
    <t>Võrguühenduse läbilaskevõime</t>
  </si>
  <si>
    <r>
      <t>3) trassikao muutuse põhjuste</t>
    </r>
    <r>
      <rPr>
        <sz val="11"/>
        <color indexed="10"/>
        <rFont val="Times New Roman"/>
        <family val="1"/>
        <charset val="186"/>
      </rPr>
      <t xml:space="preserve"> osas, juhul kui see planeeritakse erinevaks võrreldes varasemaga või kui trassikadu (%) ei ole kooskõlas efektiivsusnõuetega (vt Soojuse Määrus);</t>
    </r>
  </si>
  <si>
    <t>Saastetasu määrad keskkonnatasude seaduse (KeTS) § 19 kohaselt (€/tonn)</t>
  </si>
  <si>
    <t>muu puitkütus</t>
  </si>
  <si>
    <t>kerge kütteõli</t>
  </si>
  <si>
    <t>raske kütteõli</t>
  </si>
  <si>
    <t>Alates 01.07.2025 on kaugküttesektoris WACC soojuse tootjatele 6,57% ja võrguettevõtjatele 5,55%.</t>
  </si>
  <si>
    <t>Varustuskindluse tasu</t>
  </si>
  <si>
    <t>1.21</t>
  </si>
  <si>
    <t>1.22</t>
  </si>
  <si>
    <t>2.21</t>
  </si>
  <si>
    <t>2.22</t>
  </si>
  <si>
    <t>3.21</t>
  </si>
  <si>
    <t>3.22</t>
  </si>
  <si>
    <t>4.21</t>
  </si>
  <si>
    <t>4.22</t>
  </si>
  <si>
    <t>Tasakaalustamisvõimsuse kulu</t>
  </si>
  <si>
    <r>
      <t>KeTS § 19 lg 4</t>
    </r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2"/>
        <charset val="186"/>
      </rPr>
      <t xml:space="preserve"> kohaselt alates 01.07.2024 ei nõuta saastetasu süsinikdioksiidi väljutamise eest soojusettevõtjatelt, kelle käitis kuulub vastava tegevuse ulatuses Euroopa Liidu kasvuhoonegaaside lubatud heitkoguse ühikutega kauplemise süsteemi.</t>
    </r>
  </si>
  <si>
    <t xml:space="preserve">hakkpuit </t>
  </si>
  <si>
    <t xml:space="preserve">põlevkiviõli </t>
  </si>
  <si>
    <t xml:space="preserve">maagaas </t>
  </si>
  <si>
    <t xml:space="preserve">pellet </t>
  </si>
  <si>
    <t xml:space="preserve">puitbrikett </t>
  </si>
  <si>
    <t xml:space="preserve">halupuu </t>
  </si>
  <si>
    <t xml:space="preserve">hein </t>
  </si>
  <si>
    <t xml:space="preserve">põlevkivi </t>
  </si>
  <si>
    <t xml:space="preserve">kivisüsi </t>
  </si>
  <si>
    <t xml:space="preserve">diislikütus </t>
  </si>
  <si>
    <t xml:space="preserve">LPG </t>
  </si>
  <si>
    <t xml:space="preserve">LNG </t>
  </si>
  <si>
    <t xml:space="preserve">biogaas </t>
  </si>
  <si>
    <t xml:space="preserve">tükkturvas </t>
  </si>
  <si>
    <t xml:space="preserve">freesturvas </t>
  </si>
  <si>
    <t>TARTU VALLA HALDUS OÜ</t>
  </si>
  <si>
    <t>Vahtra tn 4 Lähte alevik, Tartu vald Tartumaa 60502</t>
  </si>
  <si>
    <t>Kerli Järvetar, 59 118 117, kerli.jarvetar@tartuvald.ee</t>
  </si>
  <si>
    <t>Lähte</t>
  </si>
  <si>
    <t>Jah</t>
  </si>
  <si>
    <t>Tartu Vallavolikogu määrus nr 1, 24.01.2007.</t>
  </si>
  <si>
    <t>Tartu vald</t>
  </si>
  <si>
    <t>KONKURENTSIAMET 17.06.2025 107,46 €/MWh</t>
  </si>
  <si>
    <t>Hakkepuidule üleminek, uue katlamaja ehitus</t>
  </si>
  <si>
    <t>Ettevõte kuulub 100% Tartu Vallavalitsusele. Ettevõtte toodab ja jaotab ning müüb soojusenergiat, osutab maastike hoolduse teenust ja hooldab valla teid.</t>
  </si>
  <si>
    <t>Vahtra tn 4, Lähte alevik</t>
  </si>
  <si>
    <t>CA 500ACV, paigaldatud 2008</t>
  </si>
  <si>
    <t>WOLF MGK-2-1000</t>
  </si>
  <si>
    <t>Wentelax katel WET-850M6, paigaldatud 2025</t>
  </si>
  <si>
    <t>alates nov 2025</t>
  </si>
  <si>
    <t>Lähte Gümnaasiumi katlamaja</t>
  </si>
  <si>
    <t>CA 300, paigaldatud 2012</t>
  </si>
  <si>
    <t>Geminox, paigaldatud 2012</t>
  </si>
  <si>
    <t>Electric Terminal OÜ 01.11.2025-31.10.2026</t>
  </si>
  <si>
    <t>Fikseeritud hinnaga pakett, 92 €/MWh</t>
  </si>
  <si>
    <t>Võimsus VMA2</t>
  </si>
  <si>
    <t>Enefit AS</t>
  </si>
  <si>
    <r>
      <t xml:space="preserve">Muud kulud </t>
    </r>
    <r>
      <rPr>
        <i/>
        <sz val="10"/>
        <rFont val="Times New Roman"/>
        <family val="2"/>
        <charset val="186"/>
      </rPr>
      <t>(kindlustus)</t>
    </r>
  </si>
  <si>
    <r>
      <t xml:space="preserve">Muud kulud </t>
    </r>
    <r>
      <rPr>
        <i/>
        <sz val="10"/>
        <color indexed="12"/>
        <rFont val="Times New Roman"/>
        <family val="1"/>
        <charset val="186"/>
      </rPr>
      <t>(amprite suurendamine)</t>
    </r>
  </si>
  <si>
    <t>Kaugkütteühing</t>
  </si>
  <si>
    <t>Vahtra 4 79401:005:0091 kinnistu Lähtel</t>
  </si>
  <si>
    <t>Soojustrass</t>
  </si>
  <si>
    <t>Soojussõlmed</t>
  </si>
  <si>
    <t>Lähte aleviku kaugküttepiirkonnas uute liitujate kaugküttetorustiku projekteerimine ja ehitamine</t>
  </si>
  <si>
    <t xml:space="preserve">Lähte alevikus Aiandi tn 3 kinnistul kuni Kase tn 4  soojatrassi ehitus koos projekteerimisega </t>
  </si>
  <si>
    <t>Aigar Lepp</t>
  </si>
  <si>
    <t>Allkirjastatud digitaalselt</t>
  </si>
  <si>
    <t>tuh m3</t>
  </si>
  <si>
    <t>pm3</t>
  </si>
  <si>
    <t>Lähte hakkepuidu katlamaja (omanikujärelvalve ehituse ajal)</t>
  </si>
  <si>
    <t>Projekteerimine</t>
  </si>
  <si>
    <t>Biokütuse katel</t>
  </si>
  <si>
    <t>Suitsugaaside torustik ja puhastusseadmed</t>
  </si>
  <si>
    <t>Tuhaärastusseadmed</t>
  </si>
  <si>
    <t>Kütuse vastuvõtusõlme ja hoidla seadmed</t>
  </si>
  <si>
    <t>Elektri ja automaatika seadmed</t>
  </si>
  <si>
    <t>Veepoole seadmed</t>
  </si>
  <si>
    <t>Reservkatel</t>
  </si>
  <si>
    <t>Päikesepaneelid koos akulahendusega</t>
  </si>
  <si>
    <t>Katlamaja hoone ja kütusehoidla ehitustööd</t>
  </si>
  <si>
    <t>Tuletõrjesüsteemid</t>
  </si>
  <si>
    <t>Projekti üldkulud (transpordkulud, projekti juhtimine, seadistamine, dokumentatsioon)</t>
  </si>
  <si>
    <t>Soojuse jaotamise seadmed (traasipumbad, sulgarmatuur jne)</t>
  </si>
  <si>
    <t>Tuletõrje veevõtukoht</t>
  </si>
  <si>
    <t>Hinnavalemi 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</si>
</sst>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0.0"/>
    <numFmt numFmtId="166" formatCode="#,##0.0"/>
    <numFmt numFmtId="167" formatCode="_-* #,##0.00&quot; kr&quot;_-;\-* #,##0.00&quot; kr&quot;_-;_-* \-??&quot; kr&quot;_-;_-@_-"/>
    <numFmt numFmtId="168" formatCode="_-* #,##0.00\ _k_r_-;\-* #,##0.00\ _k_r_-;_-* \-??\ _k_r_-;_-@_-"/>
    <numFmt numFmtId="169" formatCode="#,##0.00_ ;\-#,##0.00\ "/>
    <numFmt numFmtId="170" formatCode="0.0000"/>
    <numFmt numFmtId="171" formatCode="0.000"/>
    <numFmt numFmtId="172" formatCode="0.0%"/>
    <numFmt numFmtId="173" formatCode="_-* #,##0.00\ _k_r_-;\-* #,##0.00\ _k_r_-;_-* &quot;-&quot;??\ _k_r_-;_-@_-"/>
    <numFmt numFmtId="174" formatCode="d\.mm\.yyyy;@"/>
    <numFmt numFmtId="175" formatCode="dd\.mm\.yyyy;@"/>
    <numFmt numFmtId="176" formatCode="0.00000"/>
  </numFmts>
  <fonts count="138" x14ac:knownFonts="1">
    <font>
      <sz val="12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u/>
      <sz val="10"/>
      <color indexed="12"/>
      <name val="Times New Roman"/>
      <family val="1"/>
      <charset val="186"/>
    </font>
    <font>
      <sz val="10"/>
      <color indexed="8"/>
      <name val="Times New Roman"/>
      <family val="2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10"/>
      <name val="Calibri"/>
      <family val="2"/>
      <charset val="186"/>
    </font>
    <font>
      <sz val="10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indexed="17"/>
      <name val="Times New Roman"/>
      <family val="1"/>
      <charset val="186"/>
    </font>
    <font>
      <i/>
      <sz val="10"/>
      <color indexed="12"/>
      <name val="Times New Roman"/>
      <family val="1"/>
      <charset val="186"/>
    </font>
    <font>
      <b/>
      <sz val="9"/>
      <color indexed="81"/>
      <name val="Times New Roman"/>
      <family val="1"/>
      <charset val="186"/>
    </font>
    <font>
      <b/>
      <sz val="10"/>
      <color indexed="81"/>
      <name val="Times New Roman"/>
      <family val="1"/>
      <charset val="186"/>
    </font>
    <font>
      <sz val="10"/>
      <color indexed="81"/>
      <name val="Times New Roman"/>
      <family val="1"/>
      <charset val="186"/>
    </font>
    <font>
      <b/>
      <u/>
      <sz val="10"/>
      <color indexed="81"/>
      <name val="Times New Roman"/>
      <family val="1"/>
      <charset val="186"/>
    </font>
    <font>
      <b/>
      <u/>
      <sz val="9"/>
      <color indexed="81"/>
      <name val="Times New Roman"/>
      <family val="1"/>
      <charset val="186"/>
    </font>
    <font>
      <sz val="9"/>
      <color indexed="81"/>
      <name val="Times New Roman"/>
      <family val="1"/>
      <charset val="186"/>
    </font>
    <font>
      <sz val="11"/>
      <color indexed="8"/>
      <name val="Times New Roman"/>
      <family val="2"/>
      <charset val="186"/>
    </font>
    <font>
      <sz val="9"/>
      <color indexed="81"/>
      <name val="Tahoma"/>
      <family val="2"/>
      <charset val="186"/>
    </font>
    <font>
      <sz val="10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i/>
      <sz val="10"/>
      <name val="Times New Roman"/>
      <family val="2"/>
      <charset val="186"/>
    </font>
    <font>
      <b/>
      <sz val="10"/>
      <name val="Times New Roman"/>
      <family val="2"/>
      <charset val="186"/>
    </font>
    <font>
      <i/>
      <sz val="10"/>
      <color indexed="49"/>
      <name val="Times New Roman"/>
      <family val="1"/>
      <charset val="186"/>
    </font>
    <font>
      <i/>
      <sz val="10"/>
      <color indexed="49"/>
      <name val="Times New Roman"/>
      <family val="2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color indexed="40"/>
      <name val="Times New Roman"/>
      <family val="1"/>
      <charset val="186"/>
    </font>
    <font>
      <b/>
      <sz val="10"/>
      <name val="Times New Roman"/>
      <family val="1"/>
    </font>
    <font>
      <b/>
      <sz val="8"/>
      <color indexed="81"/>
      <name val="Tahoma"/>
      <family val="2"/>
      <charset val="186"/>
    </font>
    <font>
      <sz val="8"/>
      <color indexed="81"/>
      <name val="Tahoma"/>
      <family val="2"/>
      <charset val="186"/>
    </font>
    <font>
      <sz val="10"/>
      <color indexed="8"/>
      <name val="Times New Roman"/>
      <family val="1"/>
    </font>
    <font>
      <sz val="11"/>
      <color indexed="10"/>
      <name val="Times New Roman"/>
      <family val="1"/>
      <charset val="186"/>
    </font>
    <font>
      <b/>
      <u/>
      <sz val="11"/>
      <color indexed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7"/>
      <color indexed="10"/>
      <name val="Times New Roman"/>
      <family val="1"/>
      <charset val="186"/>
    </font>
    <font>
      <sz val="9"/>
      <name val="Times New Roman"/>
      <family val="2"/>
      <charset val="186"/>
    </font>
    <font>
      <b/>
      <sz val="9"/>
      <name val="Times New Roman"/>
      <family val="2"/>
      <charset val="186"/>
    </font>
    <font>
      <sz val="11"/>
      <name val="Times New Roman"/>
      <family val="1"/>
      <charset val="186"/>
    </font>
    <font>
      <u/>
      <sz val="11"/>
      <color indexed="12"/>
      <name val="Times New Roman"/>
      <family val="1"/>
      <charset val="186"/>
    </font>
    <font>
      <sz val="12"/>
      <color indexed="10"/>
      <name val="Times New Roman"/>
      <family val="2"/>
      <charset val="186"/>
    </font>
    <font>
      <b/>
      <sz val="12"/>
      <color indexed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7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sz val="12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12"/>
      <color theme="0"/>
      <name val="Times New Roman"/>
      <family val="2"/>
      <charset val="186"/>
    </font>
    <font>
      <sz val="12"/>
      <color rgb="FFFF0000"/>
      <name val="Times New Roman"/>
      <family val="2"/>
      <charset val="186"/>
    </font>
    <font>
      <u/>
      <sz val="12"/>
      <color theme="10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sz val="11"/>
      <color theme="1"/>
      <name val="Times New Roman"/>
      <family val="2"/>
      <charset val="186"/>
    </font>
    <font>
      <b/>
      <u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0"/>
      <color rgb="FFFF0000"/>
      <name val="Times New Roman"/>
      <family val="2"/>
      <charset val="186"/>
    </font>
    <font>
      <sz val="10"/>
      <color rgb="FF000000"/>
      <name val="Times New Roman"/>
      <family val="2"/>
      <charset val="186"/>
    </font>
    <font>
      <b/>
      <sz val="10"/>
      <color rgb="FF000000"/>
      <name val="Times New Roman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theme="8" tint="-0.249977111117893"/>
      <name val="Times New Roman"/>
      <family val="2"/>
      <charset val="186"/>
    </font>
    <font>
      <i/>
      <sz val="10"/>
      <color theme="8" tint="-0.249977111117893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u/>
      <sz val="10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i/>
      <sz val="10"/>
      <color rgb="FF00B0F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FF0000"/>
      <name val="Times New Roman"/>
      <family val="2"/>
      <charset val="186"/>
    </font>
    <font>
      <b/>
      <sz val="11"/>
      <color rgb="FFFF0000"/>
      <name val="Times New Roman"/>
      <family val="1"/>
      <charset val="186"/>
    </font>
    <font>
      <sz val="9"/>
      <color theme="1"/>
      <name val="Times New Roman"/>
      <family val="2"/>
      <charset val="186"/>
    </font>
    <font>
      <sz val="11"/>
      <color theme="1"/>
      <name val="Times New Roman"/>
      <family val="1"/>
      <charset val="186"/>
    </font>
    <font>
      <b/>
      <i/>
      <u/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u/>
      <sz val="10"/>
      <color rgb="FFFF0000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sz val="10"/>
      <color theme="0"/>
      <name val="Times New Roman"/>
      <family val="2"/>
      <charset val="186"/>
    </font>
    <font>
      <b/>
      <sz val="10"/>
      <color theme="0"/>
      <name val="Times New Roman"/>
      <family val="2"/>
      <charset val="186"/>
    </font>
    <font>
      <u/>
      <sz val="11"/>
      <color rgb="FFFF0000"/>
      <name val="Times New Roman"/>
      <family val="1"/>
      <charset val="186"/>
    </font>
    <font>
      <u/>
      <sz val="10"/>
      <color theme="1"/>
      <name val="Times New Roman"/>
      <family val="2"/>
      <charset val="186"/>
    </font>
    <font>
      <b/>
      <sz val="10"/>
      <color rgb="FFFF0000"/>
      <name val="Times New Roman"/>
      <family val="2"/>
      <charset val="186"/>
    </font>
    <font>
      <vertAlign val="superscript"/>
      <sz val="10"/>
      <color rgb="FF000000"/>
      <name val="Times New Roman"/>
      <family val="1"/>
      <charset val="186"/>
    </font>
    <font>
      <b/>
      <sz val="10.5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8"/>
      <name val="Times New Roman"/>
      <family val="2"/>
      <charset val="186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0"/>
      <color theme="4"/>
      <name val="Calibri"/>
      <family val="2"/>
      <charset val="186"/>
      <scheme val="minor"/>
    </font>
    <font>
      <sz val="10"/>
      <color theme="8" tint="-0.249977111117893"/>
      <name val="Calibri"/>
      <family val="2"/>
      <charset val="186"/>
      <scheme val="minor"/>
    </font>
    <font>
      <b/>
      <sz val="9"/>
      <color rgb="FFFF0000"/>
      <name val="Times New Roman"/>
      <family val="1"/>
      <charset val="186"/>
    </font>
    <font>
      <i/>
      <sz val="10"/>
      <color rgb="FF00B0F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8BF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" fillId="0" borderId="0"/>
    <xf numFmtId="0" fontId="20" fillId="7" borderId="1" applyNumberFormat="0" applyAlignment="0" applyProtection="0"/>
    <xf numFmtId="164" fontId="78" fillId="0" borderId="0" applyFont="0" applyFill="0" applyBorder="0" applyAlignment="0" applyProtection="0"/>
    <xf numFmtId="168" fontId="1" fillId="0" borderId="0"/>
    <xf numFmtId="0" fontId="21" fillId="0" borderId="0">
      <alignment vertical="top"/>
    </xf>
    <xf numFmtId="0" fontId="22" fillId="0" borderId="7" applyNumberFormat="0" applyFill="0" applyAlignment="0" applyProtection="0"/>
    <xf numFmtId="0" fontId="23" fillId="23" borderId="0" applyNumberFormat="0" applyBorder="0" applyAlignment="0" applyProtection="0"/>
    <xf numFmtId="0" fontId="1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10" fillId="22" borderId="8" applyNumberFormat="0" applyFont="0" applyAlignment="0" applyProtection="0"/>
    <xf numFmtId="0" fontId="24" fillId="20" borderId="9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167" fontId="1" fillId="0" borderId="0"/>
    <xf numFmtId="0" fontId="27" fillId="0" borderId="0" applyNumberFormat="0" applyFill="0" applyBorder="0" applyAlignment="0" applyProtection="0"/>
  </cellStyleXfs>
  <cellXfs count="8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3" fillId="24" borderId="10" xfId="0" applyFont="1" applyFill="1" applyBorder="1" applyAlignment="1">
      <alignment horizontal="center" vertical="center" wrapText="1"/>
    </xf>
    <xf numFmtId="2" fontId="83" fillId="0" borderId="10" xfId="0" applyNumberFormat="1" applyFont="1" applyBorder="1"/>
    <xf numFmtId="2" fontId="0" fillId="0" borderId="0" xfId="0" applyNumberFormat="1"/>
    <xf numFmtId="0" fontId="84" fillId="0" borderId="0" xfId="0" applyFont="1"/>
    <xf numFmtId="2" fontId="84" fillId="0" borderId="0" xfId="0" applyNumberFormat="1" applyFont="1"/>
    <xf numFmtId="0" fontId="84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/>
    </xf>
    <xf numFmtId="0" fontId="85" fillId="24" borderId="10" xfId="0" applyFont="1" applyFill="1" applyBorder="1" applyAlignment="1">
      <alignment horizontal="center" vertical="center" wrapText="1"/>
    </xf>
    <xf numFmtId="2" fontId="85" fillId="24" borderId="10" xfId="0" applyNumberFormat="1" applyFont="1" applyFill="1" applyBorder="1" applyAlignment="1">
      <alignment horizontal="center" vertical="center" wrapText="1"/>
    </xf>
    <xf numFmtId="0" fontId="84" fillId="0" borderId="10" xfId="0" applyFont="1" applyBorder="1" applyAlignment="1">
      <alignment horizontal="center"/>
    </xf>
    <xf numFmtId="0" fontId="84" fillId="0" borderId="10" xfId="0" applyFont="1" applyBorder="1"/>
    <xf numFmtId="0" fontId="86" fillId="0" borderId="0" xfId="0" applyFont="1"/>
    <xf numFmtId="0" fontId="87" fillId="0" borderId="0" xfId="0" applyFont="1"/>
    <xf numFmtId="49" fontId="84" fillId="0" borderId="0" xfId="0" applyNumberFormat="1" applyFont="1" applyAlignment="1">
      <alignment horizontal="center"/>
    </xf>
    <xf numFmtId="49" fontId="85" fillId="24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/>
    <xf numFmtId="2" fontId="84" fillId="0" borderId="10" xfId="0" applyNumberFormat="1" applyFont="1" applyBorder="1"/>
    <xf numFmtId="0" fontId="89" fillId="0" borderId="10" xfId="0" applyFont="1" applyBorder="1"/>
    <xf numFmtId="2" fontId="84" fillId="25" borderId="10" xfId="0" applyNumberFormat="1" applyFont="1" applyFill="1" applyBorder="1"/>
    <xf numFmtId="49" fontId="84" fillId="0" borderId="10" xfId="0" applyNumberFormat="1" applyFont="1" applyBorder="1" applyAlignment="1">
      <alignment horizontal="right"/>
    </xf>
    <xf numFmtId="49" fontId="84" fillId="0" borderId="0" xfId="0" applyNumberFormat="1" applyFont="1" applyAlignment="1">
      <alignment horizontal="right"/>
    </xf>
    <xf numFmtId="0" fontId="85" fillId="0" borderId="10" xfId="0" applyFont="1" applyBorder="1"/>
    <xf numFmtId="0" fontId="85" fillId="0" borderId="10" xfId="0" applyFont="1" applyBorder="1" applyAlignment="1">
      <alignment horizontal="center"/>
    </xf>
    <xf numFmtId="2" fontId="85" fillId="0" borderId="10" xfId="0" applyNumberFormat="1" applyFont="1" applyBorder="1"/>
    <xf numFmtId="0" fontId="85" fillId="0" borderId="11" xfId="0" applyFont="1" applyBorder="1"/>
    <xf numFmtId="2" fontId="85" fillId="0" borderId="11" xfId="0" applyNumberFormat="1" applyFont="1" applyBorder="1"/>
    <xf numFmtId="49" fontId="87" fillId="0" borderId="10" xfId="0" applyNumberFormat="1" applyFont="1" applyBorder="1" applyAlignment="1">
      <alignment horizontal="right"/>
    </xf>
    <xf numFmtId="1" fontId="84" fillId="0" borderId="10" xfId="0" applyNumberFormat="1" applyFont="1" applyBorder="1"/>
    <xf numFmtId="0" fontId="90" fillId="0" borderId="10" xfId="0" applyFont="1" applyBorder="1"/>
    <xf numFmtId="0" fontId="90" fillId="0" borderId="10" xfId="0" applyFont="1" applyBorder="1" applyAlignment="1">
      <alignment horizontal="center"/>
    </xf>
    <xf numFmtId="0" fontId="91" fillId="0" borderId="10" xfId="0" applyFont="1" applyBorder="1"/>
    <xf numFmtId="0" fontId="1" fillId="26" borderId="10" xfId="0" applyFont="1" applyFill="1" applyBorder="1" applyAlignment="1">
      <alignment horizontal="left"/>
    </xf>
    <xf numFmtId="3" fontId="5" fillId="0" borderId="10" xfId="46" applyNumberFormat="1" applyFont="1" applyBorder="1" applyAlignment="1">
      <alignment horizontal="center" vertical="top"/>
    </xf>
    <xf numFmtId="49" fontId="84" fillId="0" borderId="10" xfId="0" applyNumberFormat="1" applyFont="1" applyBorder="1" applyAlignment="1">
      <alignment horizontal="right" vertical="center" wrapText="1"/>
    </xf>
    <xf numFmtId="0" fontId="85" fillId="0" borderId="10" xfId="0" applyFont="1" applyBorder="1" applyAlignment="1">
      <alignment vertical="center" wrapText="1"/>
    </xf>
    <xf numFmtId="0" fontId="84" fillId="0" borderId="0" xfId="0" applyFont="1" applyAlignment="1">
      <alignment vertical="center" wrapText="1"/>
    </xf>
    <xf numFmtId="0" fontId="92" fillId="0" borderId="0" xfId="0" applyFont="1"/>
    <xf numFmtId="0" fontId="84" fillId="0" borderId="10" xfId="0" applyFont="1" applyBorder="1" applyAlignment="1">
      <alignment horizontal="right"/>
    </xf>
    <xf numFmtId="0" fontId="84" fillId="0" borderId="0" xfId="0" applyFont="1" applyAlignment="1">
      <alignment horizontal="right"/>
    </xf>
    <xf numFmtId="0" fontId="86" fillId="0" borderId="10" xfId="0" applyFont="1" applyBorder="1"/>
    <xf numFmtId="49" fontId="84" fillId="0" borderId="11" xfId="0" applyNumberFormat="1" applyFont="1" applyBorder="1" applyAlignment="1">
      <alignment horizontal="right"/>
    </xf>
    <xf numFmtId="0" fontId="89" fillId="0" borderId="10" xfId="0" applyFont="1" applyBorder="1" applyAlignment="1">
      <alignment horizontal="center"/>
    </xf>
    <xf numFmtId="0" fontId="84" fillId="0" borderId="12" xfId="0" applyFont="1" applyBorder="1" applyAlignment="1">
      <alignment horizontal="center"/>
    </xf>
    <xf numFmtId="0" fontId="85" fillId="0" borderId="12" xfId="0" applyFont="1" applyBorder="1" applyAlignment="1">
      <alignment horizontal="center"/>
    </xf>
    <xf numFmtId="3" fontId="89" fillId="0" borderId="12" xfId="0" applyNumberFormat="1" applyFont="1" applyBorder="1" applyAlignment="1">
      <alignment horizontal="center"/>
    </xf>
    <xf numFmtId="0" fontId="85" fillId="0" borderId="13" xfId="0" applyFont="1" applyBorder="1" applyAlignment="1">
      <alignment horizontal="center"/>
    </xf>
    <xf numFmtId="0" fontId="91" fillId="0" borderId="10" xfId="0" applyFont="1" applyBorder="1" applyAlignment="1">
      <alignment horizontal="center"/>
    </xf>
    <xf numFmtId="0" fontId="90" fillId="2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4" fontId="84" fillId="0" borderId="10" xfId="0" applyNumberFormat="1" applyFont="1" applyBorder="1"/>
    <xf numFmtId="169" fontId="84" fillId="0" borderId="10" xfId="0" applyNumberFormat="1" applyFont="1" applyBorder="1" applyAlignment="1">
      <alignment horizontal="right"/>
    </xf>
    <xf numFmtId="171" fontId="84" fillId="0" borderId="0" xfId="0" applyNumberFormat="1" applyFont="1"/>
    <xf numFmtId="4" fontId="84" fillId="0" borderId="0" xfId="0" applyNumberFormat="1" applyFont="1"/>
    <xf numFmtId="3" fontId="84" fillId="0" borderId="0" xfId="0" applyNumberFormat="1" applyFont="1"/>
    <xf numFmtId="173" fontId="84" fillId="0" borderId="0" xfId="0" applyNumberFormat="1" applyFont="1"/>
    <xf numFmtId="4" fontId="84" fillId="25" borderId="10" xfId="0" applyNumberFormat="1" applyFont="1" applyFill="1" applyBorder="1"/>
    <xf numFmtId="0" fontId="84" fillId="0" borderId="14" xfId="0" applyFont="1" applyBorder="1"/>
    <xf numFmtId="4" fontId="9" fillId="0" borderId="10" xfId="44" applyNumberFormat="1" applyFont="1" applyBorder="1" applyAlignment="1">
      <alignment horizontal="right"/>
    </xf>
    <xf numFmtId="0" fontId="85" fillId="24" borderId="10" xfId="0" applyFont="1" applyFill="1" applyBorder="1" applyAlignment="1">
      <alignment horizontal="center" vertical="center"/>
    </xf>
    <xf numFmtId="3" fontId="84" fillId="0" borderId="10" xfId="0" applyNumberFormat="1" applyFont="1" applyBorder="1"/>
    <xf numFmtId="3" fontId="84" fillId="0" borderId="10" xfId="0" applyNumberFormat="1" applyFont="1" applyBorder="1" applyAlignment="1">
      <alignment horizontal="center"/>
    </xf>
    <xf numFmtId="0" fontId="85" fillId="27" borderId="10" xfId="0" applyFont="1" applyFill="1" applyBorder="1" applyAlignment="1">
      <alignment horizontal="center"/>
    </xf>
    <xf numFmtId="0" fontId="89" fillId="0" borderId="10" xfId="0" applyFont="1" applyBorder="1" applyAlignment="1">
      <alignment vertical="center" wrapText="1"/>
    </xf>
    <xf numFmtId="0" fontId="84" fillId="0" borderId="0" xfId="0" applyFont="1" applyAlignment="1">
      <alignment vertical="center"/>
    </xf>
    <xf numFmtId="0" fontId="93" fillId="28" borderId="10" xfId="0" applyFont="1" applyFill="1" applyBorder="1" applyAlignment="1">
      <alignment vertical="center" wrapText="1"/>
    </xf>
    <xf numFmtId="0" fontId="93" fillId="28" borderId="10" xfId="0" applyFont="1" applyFill="1" applyBorder="1" applyAlignment="1">
      <alignment horizontal="center" vertical="center"/>
    </xf>
    <xf numFmtId="0" fontId="93" fillId="28" borderId="10" xfId="0" applyFont="1" applyFill="1" applyBorder="1" applyAlignment="1">
      <alignment horizontal="center" vertical="center" wrapText="1"/>
    </xf>
    <xf numFmtId="0" fontId="94" fillId="0" borderId="10" xfId="0" applyFont="1" applyBorder="1"/>
    <xf numFmtId="0" fontId="94" fillId="0" borderId="10" xfId="0" applyFont="1" applyBorder="1" applyAlignment="1">
      <alignment horizontal="center"/>
    </xf>
    <xf numFmtId="3" fontId="94" fillId="0" borderId="10" xfId="0" applyNumberFormat="1" applyFont="1" applyBorder="1" applyAlignment="1">
      <alignment horizontal="right"/>
    </xf>
    <xf numFmtId="172" fontId="84" fillId="0" borderId="0" xfId="0" applyNumberFormat="1" applyFont="1"/>
    <xf numFmtId="2" fontId="94" fillId="0" borderId="10" xfId="0" applyNumberFormat="1" applyFont="1" applyBorder="1" applyAlignment="1">
      <alignment horizontal="right"/>
    </xf>
    <xf numFmtId="0" fontId="93" fillId="0" borderId="10" xfId="0" applyFont="1" applyBorder="1"/>
    <xf numFmtId="0" fontId="93" fillId="0" borderId="10" xfId="0" applyFont="1" applyBorder="1" applyAlignment="1">
      <alignment horizontal="center"/>
    </xf>
    <xf numFmtId="1" fontId="84" fillId="0" borderId="0" xfId="0" applyNumberFormat="1" applyFont="1"/>
    <xf numFmtId="0" fontId="94" fillId="0" borderId="10" xfId="0" applyFont="1" applyBorder="1" applyAlignment="1">
      <alignment horizontal="center" vertical="center"/>
    </xf>
    <xf numFmtId="2" fontId="93" fillId="0" borderId="10" xfId="0" applyNumberFormat="1" applyFont="1" applyBorder="1" applyAlignment="1">
      <alignment horizontal="right"/>
    </xf>
    <xf numFmtId="2" fontId="89" fillId="0" borderId="10" xfId="0" applyNumberFormat="1" applyFont="1" applyBorder="1" applyAlignment="1">
      <alignment vertical="center"/>
    </xf>
    <xf numFmtId="0" fontId="93" fillId="0" borderId="10" xfId="0" applyFont="1" applyBorder="1" applyAlignment="1">
      <alignment wrapText="1"/>
    </xf>
    <xf numFmtId="0" fontId="1" fillId="0" borderId="0" xfId="47" applyFont="1"/>
    <xf numFmtId="0" fontId="28" fillId="0" borderId="0" xfId="47" applyFont="1" applyAlignment="1">
      <alignment wrapText="1"/>
    </xf>
    <xf numFmtId="0" fontId="89" fillId="0" borderId="0" xfId="0" applyFont="1"/>
    <xf numFmtId="0" fontId="1" fillId="0" borderId="0" xfId="47" applyFont="1" applyAlignment="1">
      <alignment wrapText="1"/>
    </xf>
    <xf numFmtId="0" fontId="1" fillId="0" borderId="10" xfId="47" applyFont="1" applyBorder="1"/>
    <xf numFmtId="0" fontId="1" fillId="0" borderId="0" xfId="47" applyFont="1" applyAlignment="1">
      <alignment horizontal="left"/>
    </xf>
    <xf numFmtId="0" fontId="1" fillId="0" borderId="10" xfId="47" applyFont="1" applyBorder="1" applyAlignment="1">
      <alignment wrapText="1"/>
    </xf>
    <xf numFmtId="0" fontId="29" fillId="0" borderId="0" xfId="47" applyFont="1"/>
    <xf numFmtId="0" fontId="1" fillId="25" borderId="10" xfId="47" applyFont="1" applyFill="1" applyBorder="1" applyAlignment="1">
      <alignment horizontal="center" wrapText="1"/>
    </xf>
    <xf numFmtId="0" fontId="1" fillId="25" borderId="10" xfId="47" applyFont="1" applyFill="1" applyBorder="1" applyAlignment="1" applyProtection="1">
      <alignment horizontal="center" vertical="top" wrapText="1"/>
      <protection locked="0"/>
    </xf>
    <xf numFmtId="0" fontId="93" fillId="0" borderId="0" xfId="0" applyFont="1" applyAlignment="1">
      <alignment horizontal="center"/>
    </xf>
    <xf numFmtId="2" fontId="93" fillId="0" borderId="0" xfId="0" applyNumberFormat="1" applyFont="1" applyAlignment="1">
      <alignment horizontal="right"/>
    </xf>
    <xf numFmtId="0" fontId="95" fillId="0" borderId="0" xfId="0" applyFont="1"/>
    <xf numFmtId="0" fontId="1" fillId="0" borderId="0" xfId="0" applyFont="1" applyAlignment="1">
      <alignment horizontal="left" vertical="top"/>
    </xf>
    <xf numFmtId="0" fontId="28" fillId="0" borderId="0" xfId="47" applyFont="1"/>
    <xf numFmtId="0" fontId="96" fillId="0" borderId="0" xfId="0" applyFont="1" applyAlignment="1">
      <alignment wrapText="1"/>
    </xf>
    <xf numFmtId="0" fontId="28" fillId="0" borderId="0" xfId="47" applyFont="1" applyAlignment="1">
      <alignment horizontal="left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96" fillId="0" borderId="0" xfId="0" applyFont="1" applyAlignment="1">
      <alignment vertical="top"/>
    </xf>
    <xf numFmtId="3" fontId="84" fillId="25" borderId="10" xfId="0" applyNumberFormat="1" applyFont="1" applyFill="1" applyBorder="1"/>
    <xf numFmtId="2" fontId="9" fillId="0" borderId="10" xfId="0" applyNumberFormat="1" applyFont="1" applyBorder="1"/>
    <xf numFmtId="0" fontId="1" fillId="0" borderId="0" xfId="47" applyFont="1" applyAlignment="1" applyProtection="1">
      <alignment horizontal="center" vertical="top"/>
      <protection locked="0"/>
    </xf>
    <xf numFmtId="0" fontId="97" fillId="0" borderId="0" xfId="0" applyFont="1" applyAlignment="1">
      <alignment horizontal="left"/>
    </xf>
    <xf numFmtId="0" fontId="97" fillId="0" borderId="0" xfId="0" applyFont="1"/>
    <xf numFmtId="49" fontId="97" fillId="0" borderId="0" xfId="0" applyNumberFormat="1" applyFont="1" applyAlignment="1">
      <alignment horizontal="left"/>
    </xf>
    <xf numFmtId="4" fontId="9" fillId="25" borderId="10" xfId="0" applyNumberFormat="1" applyFont="1" applyFill="1" applyBorder="1"/>
    <xf numFmtId="49" fontId="89" fillId="0" borderId="10" xfId="0" applyNumberFormat="1" applyFont="1" applyBorder="1" applyAlignment="1">
      <alignment horizontal="right"/>
    </xf>
    <xf numFmtId="0" fontId="83" fillId="0" borderId="0" xfId="0" applyFont="1"/>
    <xf numFmtId="0" fontId="84" fillId="0" borderId="10" xfId="0" applyFont="1" applyBorder="1" applyAlignment="1">
      <alignment horizontal="center" vertical="center"/>
    </xf>
    <xf numFmtId="0" fontId="1" fillId="25" borderId="10" xfId="0" applyFont="1" applyFill="1" applyBorder="1" applyAlignment="1">
      <alignment vertical="center" wrapText="1"/>
    </xf>
    <xf numFmtId="0" fontId="89" fillId="25" borderId="10" xfId="0" applyFont="1" applyFill="1" applyBorder="1" applyAlignment="1">
      <alignment vertical="center" wrapText="1"/>
    </xf>
    <xf numFmtId="0" fontId="84" fillId="24" borderId="10" xfId="0" applyFont="1" applyFill="1" applyBorder="1" applyAlignment="1">
      <alignment horizontal="center" vertical="center"/>
    </xf>
    <xf numFmtId="0" fontId="81" fillId="0" borderId="0" xfId="34"/>
    <xf numFmtId="49" fontId="85" fillId="0" borderId="10" xfId="0" applyNumberFormat="1" applyFont="1" applyBorder="1" applyAlignment="1">
      <alignment horizontal="right" vertical="center" wrapText="1"/>
    </xf>
    <xf numFmtId="0" fontId="87" fillId="0" borderId="0" xfId="0" applyFont="1" applyAlignment="1">
      <alignment horizontal="right"/>
    </xf>
    <xf numFmtId="0" fontId="87" fillId="0" borderId="15" xfId="0" applyFont="1" applyBorder="1" applyAlignment="1">
      <alignment horizontal="right"/>
    </xf>
    <xf numFmtId="174" fontId="91" fillId="0" borderId="0" xfId="0" applyNumberFormat="1" applyFont="1" applyAlignment="1">
      <alignment horizontal="right"/>
    </xf>
    <xf numFmtId="2" fontId="87" fillId="0" borderId="15" xfId="0" applyNumberFormat="1" applyFont="1" applyBorder="1" applyAlignment="1">
      <alignment horizontal="right"/>
    </xf>
    <xf numFmtId="174" fontId="91" fillId="0" borderId="0" xfId="0" applyNumberFormat="1" applyFont="1"/>
    <xf numFmtId="0" fontId="98" fillId="0" borderId="0" xfId="0" applyFont="1"/>
    <xf numFmtId="0" fontId="99" fillId="0" borderId="10" xfId="42" applyFont="1" applyBorder="1" applyAlignment="1">
      <alignment horizontal="center" vertical="center" wrapText="1"/>
    </xf>
    <xf numFmtId="0" fontId="100" fillId="0" borderId="10" xfId="42" applyFont="1" applyBorder="1" applyAlignment="1">
      <alignment horizontal="center" vertical="center" wrapText="1"/>
    </xf>
    <xf numFmtId="0" fontId="9" fillId="0" borderId="10" xfId="0" applyFont="1" applyBorder="1"/>
    <xf numFmtId="0" fontId="84" fillId="0" borderId="0" xfId="0" applyFont="1" applyAlignment="1">
      <alignment horizontal="left"/>
    </xf>
    <xf numFmtId="1" fontId="85" fillId="29" borderId="10" xfId="0" applyNumberFormat="1" applyFont="1" applyFill="1" applyBorder="1" applyAlignment="1">
      <alignment horizontal="center" vertical="center"/>
    </xf>
    <xf numFmtId="0" fontId="85" fillId="29" borderId="10" xfId="0" applyFont="1" applyFill="1" applyBorder="1" applyAlignment="1">
      <alignment horizontal="center" vertical="center" wrapText="1"/>
    </xf>
    <xf numFmtId="165" fontId="85" fillId="0" borderId="10" xfId="0" applyNumberFormat="1" applyFont="1" applyBorder="1"/>
    <xf numFmtId="0" fontId="85" fillId="0" borderId="0" xfId="0" applyFont="1"/>
    <xf numFmtId="1" fontId="85" fillId="30" borderId="10" xfId="0" applyNumberFormat="1" applyFont="1" applyFill="1" applyBorder="1" applyAlignment="1">
      <alignment horizontal="center" vertical="center"/>
    </xf>
    <xf numFmtId="2" fontId="85" fillId="29" borderId="14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right"/>
    </xf>
    <xf numFmtId="3" fontId="9" fillId="0" borderId="10" xfId="0" applyNumberFormat="1" applyFont="1" applyBorder="1"/>
    <xf numFmtId="1" fontId="85" fillId="29" borderId="10" xfId="0" applyNumberFormat="1" applyFont="1" applyFill="1" applyBorder="1" applyAlignment="1">
      <alignment horizontal="center"/>
    </xf>
    <xf numFmtId="0" fontId="29" fillId="25" borderId="0" xfId="47" applyFont="1" applyFill="1" applyAlignment="1">
      <alignment horizontal="left"/>
    </xf>
    <xf numFmtId="0" fontId="101" fillId="26" borderId="0" xfId="47" applyFont="1" applyFill="1"/>
    <xf numFmtId="3" fontId="102" fillId="0" borderId="10" xfId="0" applyNumberFormat="1" applyFont="1" applyBorder="1"/>
    <xf numFmtId="2" fontId="85" fillId="27" borderId="10" xfId="0" applyNumberFormat="1" applyFont="1" applyFill="1" applyBorder="1" applyAlignment="1">
      <alignment horizontal="center" vertical="center" wrapText="1"/>
    </xf>
    <xf numFmtId="0" fontId="103" fillId="0" borderId="10" xfId="0" applyFont="1" applyBorder="1" applyAlignment="1">
      <alignment vertical="center" wrapText="1"/>
    </xf>
    <xf numFmtId="49" fontId="89" fillId="0" borderId="10" xfId="0" applyNumberFormat="1" applyFont="1" applyBorder="1" applyAlignment="1">
      <alignment horizontal="right" vertical="center" wrapText="1"/>
    </xf>
    <xf numFmtId="0" fontId="83" fillId="0" borderId="0" xfId="0" applyFont="1" applyAlignment="1">
      <alignment vertical="center" wrapText="1"/>
    </xf>
    <xf numFmtId="0" fontId="85" fillId="27" borderId="16" xfId="0" applyFont="1" applyFill="1" applyBorder="1" applyAlignment="1">
      <alignment horizontal="center"/>
    </xf>
    <xf numFmtId="49" fontId="85" fillId="27" borderId="16" xfId="0" applyNumberFormat="1" applyFont="1" applyFill="1" applyBorder="1" applyAlignment="1">
      <alignment horizontal="center" vertical="center" wrapText="1"/>
    </xf>
    <xf numFmtId="0" fontId="96" fillId="0" borderId="0" xfId="0" applyFont="1" applyAlignment="1">
      <alignment vertical="center"/>
    </xf>
    <xf numFmtId="0" fontId="104" fillId="0" borderId="0" xfId="0" applyFont="1"/>
    <xf numFmtId="0" fontId="90" fillId="0" borderId="10" xfId="0" applyFont="1" applyBorder="1" applyAlignment="1">
      <alignment horizontal="center" vertical="center"/>
    </xf>
    <xf numFmtId="0" fontId="105" fillId="0" borderId="0" xfId="0" applyFont="1"/>
    <xf numFmtId="49" fontId="84" fillId="0" borderId="10" xfId="0" applyNumberFormat="1" applyFont="1" applyBorder="1" applyAlignment="1">
      <alignment horizontal="center"/>
    </xf>
    <xf numFmtId="0" fontId="90" fillId="0" borderId="0" xfId="0" applyFont="1" applyAlignment="1">
      <alignment wrapText="1"/>
    </xf>
    <xf numFmtId="2" fontId="85" fillId="31" borderId="10" xfId="0" applyNumberFormat="1" applyFont="1" applyFill="1" applyBorder="1"/>
    <xf numFmtId="170" fontId="85" fillId="0" borderId="10" xfId="0" applyNumberFormat="1" applyFont="1" applyBorder="1" applyAlignment="1">
      <alignment horizontal="right"/>
    </xf>
    <xf numFmtId="0" fontId="28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90" fillId="31" borderId="10" xfId="0" applyNumberFormat="1" applyFont="1" applyFill="1" applyBorder="1"/>
    <xf numFmtId="1" fontId="93" fillId="28" borderId="10" xfId="0" applyNumberFormat="1" applyFont="1" applyFill="1" applyBorder="1" applyAlignment="1">
      <alignment horizontal="center" vertical="center"/>
    </xf>
    <xf numFmtId="49" fontId="84" fillId="0" borderId="17" xfId="0" applyNumberFormat="1" applyFont="1" applyBorder="1" applyAlignment="1">
      <alignment horizontal="right"/>
    </xf>
    <xf numFmtId="0" fontId="84" fillId="0" borderId="17" xfId="0" applyFont="1" applyBorder="1"/>
    <xf numFmtId="2" fontId="84" fillId="0" borderId="17" xfId="0" applyNumberFormat="1" applyFont="1" applyBorder="1"/>
    <xf numFmtId="0" fontId="84" fillId="0" borderId="17" xfId="0" applyFont="1" applyBorder="1" applyAlignment="1">
      <alignment horizontal="center"/>
    </xf>
    <xf numFmtId="1" fontId="84" fillId="0" borderId="17" xfId="0" applyNumberFormat="1" applyFont="1" applyBorder="1"/>
    <xf numFmtId="2" fontId="106" fillId="27" borderId="10" xfId="0" applyNumberFormat="1" applyFont="1" applyFill="1" applyBorder="1" applyAlignment="1">
      <alignment horizontal="center" vertical="center" wrapText="1"/>
    </xf>
    <xf numFmtId="49" fontId="106" fillId="27" borderId="16" xfId="0" applyNumberFormat="1" applyFont="1" applyFill="1" applyBorder="1" applyAlignment="1">
      <alignment horizontal="center" vertical="center" wrapText="1"/>
    </xf>
    <xf numFmtId="0" fontId="106" fillId="24" borderId="10" xfId="0" applyFont="1" applyFill="1" applyBorder="1" applyAlignment="1">
      <alignment horizontal="center" vertical="center"/>
    </xf>
    <xf numFmtId="49" fontId="106" fillId="24" borderId="10" xfId="0" applyNumberFormat="1" applyFont="1" applyFill="1" applyBorder="1" applyAlignment="1">
      <alignment horizontal="center" vertical="center" wrapText="1"/>
    </xf>
    <xf numFmtId="49" fontId="85" fillId="0" borderId="11" xfId="0" applyNumberFormat="1" applyFont="1" applyBorder="1" applyAlignment="1">
      <alignment horizontal="right" vertical="center" wrapText="1"/>
    </xf>
    <xf numFmtId="0" fontId="85" fillId="0" borderId="11" xfId="0" applyFont="1" applyBorder="1" applyAlignment="1">
      <alignment vertical="center" wrapText="1"/>
    </xf>
    <xf numFmtId="0" fontId="85" fillId="27" borderId="11" xfId="0" applyFont="1" applyFill="1" applyBorder="1" applyAlignment="1">
      <alignment horizontal="center"/>
    </xf>
    <xf numFmtId="0" fontId="85" fillId="27" borderId="18" xfId="0" applyFont="1" applyFill="1" applyBorder="1" applyAlignment="1">
      <alignment horizontal="center"/>
    </xf>
    <xf numFmtId="0" fontId="89" fillId="25" borderId="11" xfId="0" applyFont="1" applyFill="1" applyBorder="1" applyAlignment="1">
      <alignment vertical="center" wrapText="1"/>
    </xf>
    <xf numFmtId="0" fontId="9" fillId="0" borderId="10" xfId="0" applyFont="1" applyBorder="1" applyAlignment="1">
      <alignment wrapText="1"/>
    </xf>
    <xf numFmtId="49" fontId="9" fillId="0" borderId="10" xfId="0" applyNumberFormat="1" applyFont="1" applyBorder="1" applyAlignment="1">
      <alignment horizontal="right" vertical="center"/>
    </xf>
    <xf numFmtId="3" fontId="85" fillId="0" borderId="11" xfId="0" applyNumberFormat="1" applyFont="1" applyBorder="1" applyAlignment="1">
      <alignment horizontal="center"/>
    </xf>
    <xf numFmtId="4" fontId="85" fillId="0" borderId="11" xfId="0" applyNumberFormat="1" applyFont="1" applyBorder="1"/>
    <xf numFmtId="3" fontId="84" fillId="0" borderId="14" xfId="0" applyNumberFormat="1" applyFont="1" applyBorder="1" applyAlignment="1">
      <alignment horizontal="center"/>
    </xf>
    <xf numFmtId="4" fontId="84" fillId="25" borderId="14" xfId="0" applyNumberFormat="1" applyFont="1" applyFill="1" applyBorder="1"/>
    <xf numFmtId="3" fontId="85" fillId="0" borderId="11" xfId="0" applyNumberFormat="1" applyFont="1" applyBorder="1"/>
    <xf numFmtId="49" fontId="85" fillId="0" borderId="14" xfId="0" applyNumberFormat="1" applyFont="1" applyBorder="1" applyAlignment="1">
      <alignment horizontal="right"/>
    </xf>
    <xf numFmtId="3" fontId="85" fillId="0" borderId="14" xfId="0" applyNumberFormat="1" applyFont="1" applyBorder="1"/>
    <xf numFmtId="3" fontId="85" fillId="0" borderId="14" xfId="0" applyNumberFormat="1" applyFont="1" applyBorder="1" applyAlignment="1">
      <alignment horizontal="center"/>
    </xf>
    <xf numFmtId="49" fontId="85" fillId="0" borderId="11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right"/>
    </xf>
    <xf numFmtId="3" fontId="28" fillId="0" borderId="11" xfId="0" applyNumberFormat="1" applyFont="1" applyBorder="1"/>
    <xf numFmtId="49" fontId="28" fillId="0" borderId="10" xfId="0" applyNumberFormat="1" applyFont="1" applyBorder="1" applyAlignment="1">
      <alignment horizontal="right"/>
    </xf>
    <xf numFmtId="49" fontId="28" fillId="0" borderId="14" xfId="0" applyNumberFormat="1" applyFont="1" applyBorder="1" applyAlignment="1">
      <alignment horizontal="right"/>
    </xf>
    <xf numFmtId="49" fontId="85" fillId="0" borderId="10" xfId="0" applyNumberFormat="1" applyFont="1" applyBorder="1" applyAlignment="1">
      <alignment horizontal="right"/>
    </xf>
    <xf numFmtId="166" fontId="84" fillId="25" borderId="10" xfId="0" applyNumberFormat="1" applyFont="1" applyFill="1" applyBorder="1"/>
    <xf numFmtId="4" fontId="9" fillId="0" borderId="10" xfId="0" applyNumberFormat="1" applyFont="1" applyBorder="1"/>
    <xf numFmtId="166" fontId="84" fillId="0" borderId="10" xfId="0" applyNumberFormat="1" applyFont="1" applyBorder="1"/>
    <xf numFmtId="3" fontId="85" fillId="0" borderId="10" xfId="0" applyNumberFormat="1" applyFont="1" applyBorder="1"/>
    <xf numFmtId="3" fontId="85" fillId="25" borderId="10" xfId="0" applyNumberFormat="1" applyFont="1" applyFill="1" applyBorder="1"/>
    <xf numFmtId="3" fontId="84" fillId="25" borderId="12" xfId="0" applyNumberFormat="1" applyFont="1" applyFill="1" applyBorder="1"/>
    <xf numFmtId="4" fontId="85" fillId="25" borderId="10" xfId="0" applyNumberFormat="1" applyFont="1" applyFill="1" applyBorder="1" applyAlignment="1">
      <alignment horizontal="right"/>
    </xf>
    <xf numFmtId="4" fontId="85" fillId="0" borderId="10" xfId="0" applyNumberFormat="1" applyFont="1" applyBorder="1" applyAlignment="1">
      <alignment horizontal="right"/>
    </xf>
    <xf numFmtId="170" fontId="85" fillId="25" borderId="10" xfId="0" applyNumberFormat="1" applyFont="1" applyFill="1" applyBorder="1"/>
    <xf numFmtId="170" fontId="84" fillId="0" borderId="10" xfId="0" applyNumberFormat="1" applyFont="1" applyBorder="1"/>
    <xf numFmtId="0" fontId="1" fillId="0" borderId="10" xfId="47" applyFont="1" applyBorder="1" applyAlignment="1">
      <alignment horizontal="left" vertical="center"/>
    </xf>
    <xf numFmtId="0" fontId="107" fillId="0" borderId="10" xfId="0" applyFont="1" applyBorder="1" applyAlignment="1">
      <alignment horizontal="center"/>
    </xf>
    <xf numFmtId="0" fontId="108" fillId="0" borderId="10" xfId="0" applyFont="1" applyBorder="1" applyAlignment="1">
      <alignment horizontal="center"/>
    </xf>
    <xf numFmtId="0" fontId="1" fillId="0" borderId="19" xfId="47" applyFont="1" applyBorder="1"/>
    <xf numFmtId="0" fontId="1" fillId="0" borderId="19" xfId="47" applyFont="1" applyBorder="1" applyAlignment="1">
      <alignment wrapText="1"/>
    </xf>
    <xf numFmtId="0" fontId="1" fillId="0" borderId="20" xfId="47" applyFont="1" applyBorder="1"/>
    <xf numFmtId="0" fontId="80" fillId="0" borderId="0" xfId="0" applyFont="1"/>
    <xf numFmtId="0" fontId="29" fillId="25" borderId="0" xfId="47" applyFont="1" applyFill="1" applyAlignment="1">
      <alignment horizontal="center"/>
    </xf>
    <xf numFmtId="4" fontId="94" fillId="0" borderId="10" xfId="0" applyNumberFormat="1" applyFont="1" applyBorder="1" applyAlignment="1">
      <alignment horizontal="right"/>
    </xf>
    <xf numFmtId="3" fontId="28" fillId="0" borderId="10" xfId="0" applyNumberFormat="1" applyFont="1" applyBorder="1" applyAlignment="1">
      <alignment horizontal="right"/>
    </xf>
    <xf numFmtId="2" fontId="47" fillId="0" borderId="10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vertical="center"/>
    </xf>
    <xf numFmtId="2" fontId="94" fillId="0" borderId="10" xfId="0" applyNumberFormat="1" applyFont="1" applyBorder="1"/>
    <xf numFmtId="2" fontId="93" fillId="0" borderId="10" xfId="0" applyNumberFormat="1" applyFont="1" applyBorder="1"/>
    <xf numFmtId="0" fontId="55" fillId="0" borderId="0" xfId="0" applyFont="1" applyAlignment="1">
      <alignment horizontal="left"/>
    </xf>
    <xf numFmtId="2" fontId="93" fillId="26" borderId="10" xfId="0" applyNumberFormat="1" applyFont="1" applyFill="1" applyBorder="1"/>
    <xf numFmtId="0" fontId="109" fillId="0" borderId="0" xfId="0" applyFont="1"/>
    <xf numFmtId="49" fontId="5" fillId="0" borderId="10" xfId="0" applyNumberFormat="1" applyFont="1" applyBorder="1" applyAlignment="1">
      <alignment horizontal="center"/>
    </xf>
    <xf numFmtId="0" fontId="84" fillId="0" borderId="10" xfId="0" applyFont="1" applyBorder="1" applyAlignment="1">
      <alignment horizontal="left" vertical="center"/>
    </xf>
    <xf numFmtId="0" fontId="110" fillId="0" borderId="0" xfId="0" applyFont="1"/>
    <xf numFmtId="0" fontId="10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49" fontId="110" fillId="0" borderId="0" xfId="0" applyNumberFormat="1" applyFont="1" applyAlignment="1">
      <alignment horizontal="left" vertical="center"/>
    </xf>
    <xf numFmtId="4" fontId="87" fillId="0" borderId="0" xfId="0" applyNumberFormat="1" applyFont="1"/>
    <xf numFmtId="3" fontId="87" fillId="0" borderId="0" xfId="0" applyNumberFormat="1" applyFont="1"/>
    <xf numFmtId="173" fontId="87" fillId="0" borderId="0" xfId="0" applyNumberFormat="1" applyFont="1"/>
    <xf numFmtId="0" fontId="1" fillId="0" borderId="0" xfId="47" applyFont="1" applyAlignment="1" applyProtection="1">
      <alignment horizontal="center" vertical="top" wrapText="1"/>
      <protection locked="0"/>
    </xf>
    <xf numFmtId="0" fontId="101" fillId="0" borderId="0" xfId="0" applyFont="1" applyAlignment="1">
      <alignment wrapText="1"/>
    </xf>
    <xf numFmtId="3" fontId="84" fillId="0" borderId="10" xfId="0" applyNumberFormat="1" applyFont="1" applyBorder="1" applyAlignment="1">
      <alignment horizontal="center" vertical="center"/>
    </xf>
    <xf numFmtId="4" fontId="84" fillId="25" borderId="10" xfId="0" applyNumberFormat="1" applyFont="1" applyFill="1" applyBorder="1" applyAlignment="1">
      <alignment vertical="center"/>
    </xf>
    <xf numFmtId="3" fontId="85" fillId="0" borderId="10" xfId="0" applyNumberFormat="1" applyFont="1" applyBorder="1" applyAlignment="1">
      <alignment horizontal="center"/>
    </xf>
    <xf numFmtId="0" fontId="81" fillId="0" borderId="0" xfId="34" applyAlignment="1">
      <alignment horizontal="justify" vertical="center"/>
    </xf>
    <xf numFmtId="0" fontId="111" fillId="0" borderId="0" xfId="0" applyFont="1"/>
    <xf numFmtId="0" fontId="66" fillId="24" borderId="10" xfId="0" applyFont="1" applyFill="1" applyBorder="1" applyAlignment="1">
      <alignment horizontal="center" vertical="center" wrapText="1"/>
    </xf>
    <xf numFmtId="0" fontId="112" fillId="0" borderId="0" xfId="0" applyFont="1"/>
    <xf numFmtId="3" fontId="59" fillId="25" borderId="10" xfId="0" applyNumberFormat="1" applyFont="1" applyFill="1" applyBorder="1" applyProtection="1">
      <protection locked="0"/>
    </xf>
    <xf numFmtId="0" fontId="113" fillId="0" borderId="0" xfId="0" applyFont="1" applyAlignment="1">
      <alignment wrapText="1"/>
    </xf>
    <xf numFmtId="0" fontId="113" fillId="0" borderId="0" xfId="0" applyFont="1"/>
    <xf numFmtId="2" fontId="89" fillId="0" borderId="11" xfId="0" applyNumberFormat="1" applyFont="1" applyBorder="1" applyAlignment="1">
      <alignment horizontal="center" vertical="center" wrapText="1"/>
    </xf>
    <xf numFmtId="2" fontId="85" fillId="0" borderId="10" xfId="0" applyNumberFormat="1" applyFont="1" applyBorder="1" applyAlignment="1">
      <alignment horizontal="center"/>
    </xf>
    <xf numFmtId="0" fontId="84" fillId="0" borderId="13" xfId="0" applyFont="1" applyBorder="1" applyAlignment="1">
      <alignment vertical="center" wrapText="1"/>
    </xf>
    <xf numFmtId="49" fontId="85" fillId="0" borderId="10" xfId="0" applyNumberFormat="1" applyFont="1" applyBorder="1" applyAlignment="1">
      <alignment horizontal="center"/>
    </xf>
    <xf numFmtId="0" fontId="114" fillId="0" borderId="0" xfId="0" applyFont="1"/>
    <xf numFmtId="49" fontId="84" fillId="0" borderId="21" xfId="0" applyNumberFormat="1" applyFont="1" applyBorder="1" applyAlignment="1">
      <alignment horizontal="right"/>
    </xf>
    <xf numFmtId="49" fontId="84" fillId="0" borderId="14" xfId="0" applyNumberFormat="1" applyFont="1" applyBorder="1" applyAlignment="1">
      <alignment horizontal="right"/>
    </xf>
    <xf numFmtId="4" fontId="85" fillId="25" borderId="10" xfId="0" applyNumberFormat="1" applyFont="1" applyFill="1" applyBorder="1"/>
    <xf numFmtId="4" fontId="85" fillId="0" borderId="10" xfId="0" applyNumberFormat="1" applyFont="1" applyBorder="1"/>
    <xf numFmtId="4" fontId="89" fillId="0" borderId="10" xfId="0" applyNumberFormat="1" applyFont="1" applyBorder="1"/>
    <xf numFmtId="4" fontId="85" fillId="25" borderId="11" xfId="0" applyNumberFormat="1" applyFont="1" applyFill="1" applyBorder="1"/>
    <xf numFmtId="4" fontId="91" fillId="0" borderId="10" xfId="0" applyNumberFormat="1" applyFont="1" applyBorder="1"/>
    <xf numFmtId="49" fontId="85" fillId="0" borderId="10" xfId="0" applyNumberFormat="1" applyFont="1" applyBorder="1" applyAlignment="1">
      <alignment horizontal="left"/>
    </xf>
    <xf numFmtId="4" fontId="85" fillId="25" borderId="14" xfId="0" applyNumberFormat="1" applyFont="1" applyFill="1" applyBorder="1"/>
    <xf numFmtId="49" fontId="91" fillId="0" borderId="14" xfId="0" applyNumberFormat="1" applyFont="1" applyBorder="1" applyAlignment="1">
      <alignment horizontal="right" vertical="center"/>
    </xf>
    <xf numFmtId="49" fontId="91" fillId="0" borderId="14" xfId="0" applyNumberFormat="1" applyFont="1" applyBorder="1" applyAlignment="1">
      <alignment vertical="center"/>
    </xf>
    <xf numFmtId="3" fontId="91" fillId="0" borderId="14" xfId="0" applyNumberFormat="1" applyFont="1" applyBorder="1" applyAlignment="1">
      <alignment horizontal="center" vertical="center"/>
    </xf>
    <xf numFmtId="0" fontId="85" fillId="0" borderId="0" xfId="0" applyFont="1" applyAlignment="1">
      <alignment vertical="center"/>
    </xf>
    <xf numFmtId="4" fontId="91" fillId="0" borderId="14" xfId="0" applyNumberFormat="1" applyFont="1" applyBorder="1" applyAlignment="1">
      <alignment vertical="center"/>
    </xf>
    <xf numFmtId="0" fontId="9" fillId="24" borderId="10" xfId="0" applyFont="1" applyFill="1" applyBorder="1" applyAlignment="1">
      <alignment horizontal="center" vertical="center"/>
    </xf>
    <xf numFmtId="0" fontId="44" fillId="24" borderId="10" xfId="0" applyFont="1" applyFill="1" applyBorder="1" applyAlignment="1">
      <alignment horizontal="center" vertical="center"/>
    </xf>
    <xf numFmtId="0" fontId="65" fillId="24" borderId="10" xfId="0" applyFont="1" applyFill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49" fontId="5" fillId="26" borderId="10" xfId="0" applyNumberFormat="1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0" fontId="58" fillId="26" borderId="10" xfId="0" applyFont="1" applyFill="1" applyBorder="1"/>
    <xf numFmtId="0" fontId="115" fillId="0" borderId="10" xfId="0" applyFont="1" applyBorder="1" applyAlignment="1">
      <alignment horizontal="center"/>
    </xf>
    <xf numFmtId="0" fontId="115" fillId="0" borderId="10" xfId="0" applyFont="1" applyBorder="1"/>
    <xf numFmtId="0" fontId="59" fillId="0" borderId="10" xfId="0" applyFont="1" applyBorder="1" applyAlignment="1">
      <alignment horizontal="center"/>
    </xf>
    <xf numFmtId="0" fontId="59" fillId="0" borderId="10" xfId="0" applyFont="1" applyBorder="1"/>
    <xf numFmtId="0" fontId="115" fillId="0" borderId="10" xfId="0" applyFont="1" applyBorder="1" applyAlignment="1">
      <alignment horizontal="left" vertical="top" wrapText="1"/>
    </xf>
    <xf numFmtId="0" fontId="115" fillId="0" borderId="10" xfId="0" applyFont="1" applyBorder="1" applyAlignment="1">
      <alignment horizontal="justify" vertical="top"/>
    </xf>
    <xf numFmtId="0" fontId="115" fillId="0" borderId="10" xfId="0" applyFont="1" applyBorder="1" applyAlignment="1">
      <alignment horizontal="center" vertical="center"/>
    </xf>
    <xf numFmtId="0" fontId="106" fillId="0" borderId="10" xfId="0" applyFont="1" applyBorder="1" applyAlignment="1">
      <alignment horizontal="center"/>
    </xf>
    <xf numFmtId="0" fontId="59" fillId="0" borderId="10" xfId="0" applyFont="1" applyBorder="1" applyAlignment="1">
      <alignment horizontal="center" vertical="center"/>
    </xf>
    <xf numFmtId="0" fontId="59" fillId="0" borderId="10" xfId="0" applyFont="1" applyBorder="1" applyAlignment="1">
      <alignment vertical="justify" wrapText="1"/>
    </xf>
    <xf numFmtId="0" fontId="60" fillId="0" borderId="10" xfId="0" applyFont="1" applyBorder="1"/>
    <xf numFmtId="0" fontId="58" fillId="0" borderId="10" xfId="0" applyFont="1" applyBorder="1" applyAlignment="1">
      <alignment horizontal="center"/>
    </xf>
    <xf numFmtId="4" fontId="58" fillId="25" borderId="10" xfId="0" applyNumberFormat="1" applyFont="1" applyFill="1" applyBorder="1" applyProtection="1">
      <protection locked="0"/>
    </xf>
    <xf numFmtId="4" fontId="58" fillId="26" borderId="10" xfId="0" applyNumberFormat="1" applyFont="1" applyFill="1" applyBorder="1" applyProtection="1">
      <protection locked="0"/>
    </xf>
    <xf numFmtId="4" fontId="58" fillId="26" borderId="10" xfId="37" applyNumberFormat="1" applyFont="1" applyFill="1" applyBorder="1" applyAlignment="1" applyProtection="1">
      <protection locked="0"/>
    </xf>
    <xf numFmtId="4" fontId="59" fillId="25" borderId="10" xfId="0" applyNumberFormat="1" applyFont="1" applyFill="1" applyBorder="1" applyProtection="1">
      <protection locked="0"/>
    </xf>
    <xf numFmtId="4" fontId="59" fillId="25" borderId="10" xfId="37" applyNumberFormat="1" applyFont="1" applyFill="1" applyBorder="1" applyAlignment="1" applyProtection="1"/>
    <xf numFmtId="4" fontId="59" fillId="26" borderId="10" xfId="37" applyNumberFormat="1" applyFont="1" applyFill="1" applyBorder="1" applyAlignment="1" applyProtection="1"/>
    <xf numFmtId="4" fontId="59" fillId="25" borderId="10" xfId="0" applyNumberFormat="1" applyFont="1" applyFill="1" applyBorder="1" applyAlignment="1" applyProtection="1">
      <alignment vertical="center"/>
      <protection locked="0"/>
    </xf>
    <xf numFmtId="4" fontId="58" fillId="26" borderId="10" xfId="0" applyNumberFormat="1" applyFont="1" applyFill="1" applyBorder="1" applyAlignment="1" applyProtection="1">
      <alignment vertical="center"/>
      <protection locked="0"/>
    </xf>
    <xf numFmtId="4" fontId="58" fillId="26" borderId="10" xfId="37" applyNumberFormat="1" applyFont="1" applyFill="1" applyBorder="1" applyAlignment="1" applyProtection="1">
      <alignment vertical="center"/>
      <protection locked="0"/>
    </xf>
    <xf numFmtId="4" fontId="59" fillId="25" borderId="10" xfId="37" applyNumberFormat="1" applyFont="1" applyFill="1" applyBorder="1" applyAlignment="1" applyProtection="1">
      <protection locked="0"/>
    </xf>
    <xf numFmtId="0" fontId="58" fillId="24" borderId="10" xfId="0" applyFont="1" applyFill="1" applyBorder="1"/>
    <xf numFmtId="0" fontId="58" fillId="24" borderId="10" xfId="0" applyFont="1" applyFill="1" applyBorder="1" applyAlignment="1">
      <alignment horizontal="center"/>
    </xf>
    <xf numFmtId="4" fontId="58" fillId="24" borderId="10" xfId="0" applyNumberFormat="1" applyFont="1" applyFill="1" applyBorder="1"/>
    <xf numFmtId="4" fontId="58" fillId="24" borderId="10" xfId="0" applyNumberFormat="1" applyFont="1" applyFill="1" applyBorder="1" applyProtection="1">
      <protection locked="0"/>
    </xf>
    <xf numFmtId="4" fontId="58" fillId="24" borderId="10" xfId="37" applyNumberFormat="1" applyFont="1" applyFill="1" applyBorder="1" applyAlignment="1" applyProtection="1">
      <protection locked="0"/>
    </xf>
    <xf numFmtId="49" fontId="85" fillId="0" borderId="14" xfId="0" applyNumberFormat="1" applyFont="1" applyBorder="1" applyAlignment="1">
      <alignment horizontal="right" vertical="center" wrapText="1"/>
    </xf>
    <xf numFmtId="49" fontId="85" fillId="0" borderId="17" xfId="0" applyNumberFormat="1" applyFont="1" applyBorder="1" applyAlignment="1">
      <alignment horizontal="right" vertical="center" wrapText="1"/>
    </xf>
    <xf numFmtId="4" fontId="59" fillId="26" borderId="10" xfId="0" applyNumberFormat="1" applyFont="1" applyFill="1" applyBorder="1" applyProtection="1">
      <protection locked="0"/>
    </xf>
    <xf numFmtId="4" fontId="59" fillId="26" borderId="10" xfId="37" applyNumberFormat="1" applyFont="1" applyFill="1" applyBorder="1" applyAlignment="1" applyProtection="1">
      <protection locked="0"/>
    </xf>
    <xf numFmtId="0" fontId="96" fillId="0" borderId="0" xfId="0" applyFont="1"/>
    <xf numFmtId="0" fontId="115" fillId="0" borderId="10" xfId="0" applyFont="1" applyBorder="1" applyAlignment="1">
      <alignment horizontal="left" vertical="center" wrapText="1"/>
    </xf>
    <xf numFmtId="171" fontId="87" fillId="0" borderId="0" xfId="0" applyNumberFormat="1" applyFont="1"/>
    <xf numFmtId="0" fontId="50" fillId="0" borderId="0" xfId="0" applyFont="1"/>
    <xf numFmtId="0" fontId="67" fillId="0" borderId="0" xfId="0" applyFont="1"/>
    <xf numFmtId="0" fontId="68" fillId="0" borderId="0" xfId="34" applyFont="1" applyAlignment="1" applyProtection="1"/>
    <xf numFmtId="10" fontId="89" fillId="25" borderId="14" xfId="0" applyNumberFormat="1" applyFont="1" applyFill="1" applyBorder="1" applyAlignment="1">
      <alignment horizontal="right" vertical="center" wrapText="1"/>
    </xf>
    <xf numFmtId="10" fontId="89" fillId="25" borderId="10" xfId="0" applyNumberFormat="1" applyFont="1" applyFill="1" applyBorder="1" applyAlignment="1">
      <alignment horizontal="right" vertical="center" wrapText="1"/>
    </xf>
    <xf numFmtId="10" fontId="89" fillId="25" borderId="11" xfId="0" applyNumberFormat="1" applyFont="1" applyFill="1" applyBorder="1" applyAlignment="1">
      <alignment horizontal="right" vertical="center" wrapText="1"/>
    </xf>
    <xf numFmtId="4" fontId="93" fillId="25" borderId="10" xfId="0" applyNumberFormat="1" applyFont="1" applyFill="1" applyBorder="1"/>
    <xf numFmtId="175" fontId="89" fillId="25" borderId="14" xfId="0" applyNumberFormat="1" applyFont="1" applyFill="1" applyBorder="1" applyAlignment="1">
      <alignment horizontal="right" vertical="center" wrapText="1"/>
    </xf>
    <xf numFmtId="175" fontId="89" fillId="25" borderId="10" xfId="0" applyNumberFormat="1" applyFont="1" applyFill="1" applyBorder="1" applyAlignment="1">
      <alignment horizontal="right" vertical="center" wrapText="1"/>
    </xf>
    <xf numFmtId="174" fontId="89" fillId="25" borderId="14" xfId="0" applyNumberFormat="1" applyFont="1" applyFill="1" applyBorder="1" applyAlignment="1">
      <alignment horizontal="right" vertical="center" wrapText="1"/>
    </xf>
    <xf numFmtId="174" fontId="89" fillId="25" borderId="10" xfId="0" applyNumberFormat="1" applyFont="1" applyFill="1" applyBorder="1" applyAlignment="1">
      <alignment horizontal="right" vertical="center" wrapText="1"/>
    </xf>
    <xf numFmtId="174" fontId="89" fillId="25" borderId="11" xfId="0" applyNumberFormat="1" applyFont="1" applyFill="1" applyBorder="1" applyAlignment="1">
      <alignment horizontal="right" vertical="center" wrapText="1"/>
    </xf>
    <xf numFmtId="0" fontId="89" fillId="25" borderId="14" xfId="0" applyFont="1" applyFill="1" applyBorder="1" applyAlignment="1">
      <alignment vertical="center" wrapText="1"/>
    </xf>
    <xf numFmtId="4" fontId="89" fillId="25" borderId="10" xfId="0" applyNumberFormat="1" applyFont="1" applyFill="1" applyBorder="1" applyAlignment="1">
      <alignment horizontal="right" vertical="center" wrapText="1"/>
    </xf>
    <xf numFmtId="4" fontId="89" fillId="25" borderId="14" xfId="0" applyNumberFormat="1" applyFont="1" applyFill="1" applyBorder="1" applyAlignment="1">
      <alignment horizontal="right" vertical="center" wrapText="1"/>
    </xf>
    <xf numFmtId="4" fontId="89" fillId="25" borderId="11" xfId="0" applyNumberFormat="1" applyFont="1" applyFill="1" applyBorder="1" applyAlignment="1">
      <alignment horizontal="right" vertical="center" wrapText="1"/>
    </xf>
    <xf numFmtId="4" fontId="89" fillId="0" borderId="14" xfId="0" applyNumberFormat="1" applyFont="1" applyBorder="1" applyAlignment="1">
      <alignment horizontal="right" vertical="center" wrapText="1"/>
    </xf>
    <xf numFmtId="4" fontId="89" fillId="0" borderId="22" xfId="0" applyNumberFormat="1" applyFont="1" applyBorder="1" applyAlignment="1">
      <alignment horizontal="right" vertical="center" wrapText="1"/>
    </xf>
    <xf numFmtId="4" fontId="89" fillId="0" borderId="14" xfId="0" applyNumberFormat="1" applyFont="1" applyBorder="1" applyAlignment="1">
      <alignment vertical="center" wrapText="1"/>
    </xf>
    <xf numFmtId="4" fontId="89" fillId="0" borderId="10" xfId="0" applyNumberFormat="1" applyFont="1" applyBorder="1" applyAlignment="1">
      <alignment horizontal="right" vertical="center" wrapText="1"/>
    </xf>
    <xf numFmtId="4" fontId="89" fillId="0" borderId="16" xfId="0" applyNumberFormat="1" applyFont="1" applyBorder="1" applyAlignment="1">
      <alignment horizontal="right" vertical="center" wrapText="1"/>
    </xf>
    <xf numFmtId="4" fontId="89" fillId="0" borderId="10" xfId="0" applyNumberFormat="1" applyFont="1" applyBorder="1" applyAlignment="1">
      <alignment vertical="center" wrapText="1"/>
    </xf>
    <xf numFmtId="4" fontId="89" fillId="0" borderId="11" xfId="0" applyNumberFormat="1" applyFont="1" applyBorder="1" applyAlignment="1">
      <alignment horizontal="right" vertical="center" wrapText="1"/>
    </xf>
    <xf numFmtId="4" fontId="89" fillId="0" borderId="18" xfId="0" applyNumberFormat="1" applyFont="1" applyBorder="1" applyAlignment="1">
      <alignment horizontal="right" vertical="center" wrapText="1"/>
    </xf>
    <xf numFmtId="4" fontId="89" fillId="0" borderId="11" xfId="0" applyNumberFormat="1" applyFont="1" applyBorder="1" applyAlignment="1">
      <alignment vertical="center" wrapText="1"/>
    </xf>
    <xf numFmtId="4" fontId="85" fillId="0" borderId="11" xfId="0" applyNumberFormat="1" applyFont="1" applyBorder="1" applyAlignment="1">
      <alignment horizontal="right" vertical="center" wrapText="1"/>
    </xf>
    <xf numFmtId="4" fontId="85" fillId="0" borderId="10" xfId="0" applyNumberFormat="1" applyFont="1" applyBorder="1" applyAlignment="1">
      <alignment horizontal="right" vertical="center" wrapText="1"/>
    </xf>
    <xf numFmtId="4" fontId="89" fillId="0" borderId="10" xfId="0" applyNumberFormat="1" applyFont="1" applyBorder="1" applyAlignment="1">
      <alignment horizontal="right" vertical="center"/>
    </xf>
    <xf numFmtId="4" fontId="89" fillId="0" borderId="10" xfId="0" applyNumberFormat="1" applyFont="1" applyBorder="1" applyAlignment="1">
      <alignment vertical="center"/>
    </xf>
    <xf numFmtId="4" fontId="85" fillId="0" borderId="11" xfId="0" applyNumberFormat="1" applyFont="1" applyBorder="1" applyAlignment="1">
      <alignment vertical="center" wrapText="1"/>
    </xf>
    <xf numFmtId="4" fontId="89" fillId="25" borderId="14" xfId="0" applyNumberFormat="1" applyFont="1" applyFill="1" applyBorder="1"/>
    <xf numFmtId="4" fontId="89" fillId="0" borderId="14" xfId="0" applyNumberFormat="1" applyFont="1" applyBorder="1"/>
    <xf numFmtId="4" fontId="89" fillId="25" borderId="10" xfId="0" applyNumberFormat="1" applyFont="1" applyFill="1" applyBorder="1"/>
    <xf numFmtId="4" fontId="89" fillId="25" borderId="11" xfId="0" applyNumberFormat="1" applyFont="1" applyFill="1" applyBorder="1"/>
    <xf numFmtId="4" fontId="85" fillId="25" borderId="10" xfId="0" applyNumberFormat="1" applyFont="1" applyFill="1" applyBorder="1" applyAlignment="1">
      <alignment horizontal="right" vertical="center" wrapText="1"/>
    </xf>
    <xf numFmtId="4" fontId="89" fillId="25" borderId="10" xfId="0" applyNumberFormat="1" applyFont="1" applyFill="1" applyBorder="1" applyAlignment="1">
      <alignment horizontal="right" vertical="center"/>
    </xf>
    <xf numFmtId="4" fontId="89" fillId="25" borderId="10" xfId="0" applyNumberFormat="1" applyFont="1" applyFill="1" applyBorder="1" applyAlignment="1">
      <alignment vertical="center"/>
    </xf>
    <xf numFmtId="4" fontId="85" fillId="26" borderId="10" xfId="0" applyNumberFormat="1" applyFont="1" applyFill="1" applyBorder="1" applyAlignment="1">
      <alignment horizontal="right" vertical="center" wrapText="1"/>
    </xf>
    <xf numFmtId="4" fontId="85" fillId="0" borderId="16" xfId="0" applyNumberFormat="1" applyFont="1" applyBorder="1" applyAlignment="1">
      <alignment horizontal="right" vertical="center" wrapText="1"/>
    </xf>
    <xf numFmtId="4" fontId="84" fillId="0" borderId="10" xfId="0" applyNumberFormat="1" applyFont="1" applyBorder="1" applyAlignment="1">
      <alignment vertical="center" wrapText="1"/>
    </xf>
    <xf numFmtId="4" fontId="85" fillId="0" borderId="10" xfId="0" applyNumberFormat="1" applyFont="1" applyBorder="1" applyAlignment="1">
      <alignment vertical="center" wrapText="1"/>
    </xf>
    <xf numFmtId="2" fontId="1" fillId="0" borderId="10" xfId="0" applyNumberFormat="1" applyFont="1" applyBorder="1"/>
    <xf numFmtId="2" fontId="1" fillId="25" borderId="10" xfId="0" applyNumberFormat="1" applyFont="1" applyFill="1" applyBorder="1"/>
    <xf numFmtId="1" fontId="85" fillId="0" borderId="0" xfId="0" applyNumberFormat="1" applyFont="1" applyAlignment="1">
      <alignment vertical="center"/>
    </xf>
    <xf numFmtId="14" fontId="85" fillId="0" borderId="0" xfId="0" applyNumberFormat="1" applyFont="1"/>
    <xf numFmtId="0" fontId="84" fillId="0" borderId="23" xfId="0" applyFont="1" applyBorder="1"/>
    <xf numFmtId="4" fontId="84" fillId="0" borderId="24" xfId="0" applyNumberFormat="1" applyFont="1" applyBorder="1"/>
    <xf numFmtId="0" fontId="90" fillId="0" borderId="25" xfId="0" applyFont="1" applyBorder="1"/>
    <xf numFmtId="4" fontId="90" fillId="0" borderId="26" xfId="0" applyNumberFormat="1" applyFont="1" applyBorder="1"/>
    <xf numFmtId="0" fontId="84" fillId="0" borderId="26" xfId="0" applyFont="1" applyBorder="1"/>
    <xf numFmtId="4" fontId="90" fillId="0" borderId="27" xfId="0" applyNumberFormat="1" applyFont="1" applyBorder="1"/>
    <xf numFmtId="4" fontId="90" fillId="0" borderId="25" xfId="0" applyNumberFormat="1" applyFont="1" applyBorder="1"/>
    <xf numFmtId="4" fontId="9" fillId="0" borderId="12" xfId="44" applyNumberFormat="1" applyFont="1" applyBorder="1" applyAlignment="1">
      <alignment horizontal="right"/>
    </xf>
    <xf numFmtId="4" fontId="9" fillId="0" borderId="23" xfId="44" applyNumberFormat="1" applyFont="1" applyBorder="1" applyAlignment="1">
      <alignment horizontal="right"/>
    </xf>
    <xf numFmtId="165" fontId="84" fillId="25" borderId="10" xfId="0" applyNumberFormat="1" applyFont="1" applyFill="1" applyBorder="1"/>
    <xf numFmtId="0" fontId="84" fillId="0" borderId="28" xfId="0" applyFont="1" applyBorder="1"/>
    <xf numFmtId="1" fontId="85" fillId="29" borderId="29" xfId="0" applyNumberFormat="1" applyFont="1" applyFill="1" applyBorder="1" applyAlignment="1">
      <alignment horizontal="center" vertical="center"/>
    </xf>
    <xf numFmtId="1" fontId="85" fillId="29" borderId="30" xfId="0" applyNumberFormat="1" applyFont="1" applyFill="1" applyBorder="1" applyAlignment="1">
      <alignment horizontal="center" vertical="center"/>
    </xf>
    <xf numFmtId="166" fontId="84" fillId="25" borderId="12" xfId="0" applyNumberFormat="1" applyFont="1" applyFill="1" applyBorder="1"/>
    <xf numFmtId="4" fontId="84" fillId="25" borderId="12" xfId="0" applyNumberFormat="1" applyFont="1" applyFill="1" applyBorder="1"/>
    <xf numFmtId="4" fontId="90" fillId="0" borderId="31" xfId="0" applyNumberFormat="1" applyFont="1" applyBorder="1"/>
    <xf numFmtId="0" fontId="84" fillId="24" borderId="10" xfId="0" applyFont="1" applyFill="1" applyBorder="1" applyAlignment="1">
      <alignment horizontal="center" vertical="center" wrapText="1"/>
    </xf>
    <xf numFmtId="1" fontId="85" fillId="29" borderId="28" xfId="0" applyNumberFormat="1" applyFont="1" applyFill="1" applyBorder="1" applyAlignment="1">
      <alignment horizontal="center" vertical="center"/>
    </xf>
    <xf numFmtId="166" fontId="84" fillId="25" borderId="23" xfId="0" applyNumberFormat="1" applyFont="1" applyFill="1" applyBorder="1"/>
    <xf numFmtId="4" fontId="84" fillId="25" borderId="23" xfId="0" applyNumberFormat="1" applyFont="1" applyFill="1" applyBorder="1"/>
    <xf numFmtId="3" fontId="84" fillId="0" borderId="23" xfId="0" applyNumberFormat="1" applyFont="1" applyBorder="1"/>
    <xf numFmtId="4" fontId="84" fillId="0" borderId="24" xfId="0" applyNumberFormat="1" applyFont="1" applyBorder="1" applyAlignment="1">
      <alignment horizontal="right"/>
    </xf>
    <xf numFmtId="0" fontId="106" fillId="29" borderId="10" xfId="0" applyFont="1" applyFill="1" applyBorder="1" applyAlignment="1">
      <alignment horizontal="center" vertical="center" wrapText="1"/>
    </xf>
    <xf numFmtId="2" fontId="84" fillId="25" borderId="12" xfId="0" applyNumberFormat="1" applyFont="1" applyFill="1" applyBorder="1"/>
    <xf numFmtId="3" fontId="84" fillId="0" borderId="12" xfId="0" applyNumberFormat="1" applyFont="1" applyBorder="1"/>
    <xf numFmtId="2" fontId="84" fillId="25" borderId="23" xfId="0" applyNumberFormat="1" applyFont="1" applyFill="1" applyBorder="1"/>
    <xf numFmtId="165" fontId="84" fillId="25" borderId="12" xfId="0" applyNumberFormat="1" applyFont="1" applyFill="1" applyBorder="1"/>
    <xf numFmtId="0" fontId="83" fillId="0" borderId="10" xfId="0" applyFont="1" applyBorder="1" applyAlignment="1">
      <alignment vertical="center"/>
    </xf>
    <xf numFmtId="0" fontId="94" fillId="0" borderId="10" xfId="42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/>
    </xf>
    <xf numFmtId="3" fontId="59" fillId="25" borderId="10" xfId="0" applyNumberFormat="1" applyFont="1" applyFill="1" applyBorder="1" applyAlignment="1" applyProtection="1">
      <alignment vertical="center"/>
      <protection locked="0"/>
    </xf>
    <xf numFmtId="166" fontId="90" fillId="0" borderId="10" xfId="0" applyNumberFormat="1" applyFont="1" applyBorder="1"/>
    <xf numFmtId="4" fontId="85" fillId="0" borderId="18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15" fillId="0" borderId="0" xfId="0" applyFont="1"/>
    <xf numFmtId="4" fontId="73" fillId="0" borderId="10" xfId="0" applyNumberFormat="1" applyFont="1" applyBorder="1" applyAlignment="1">
      <alignment vertical="top"/>
    </xf>
    <xf numFmtId="4" fontId="59" fillId="0" borderId="10" xfId="0" applyNumberFormat="1" applyFont="1" applyBorder="1" applyAlignment="1">
      <alignment vertical="top"/>
    </xf>
    <xf numFmtId="4" fontId="72" fillId="0" borderId="10" xfId="0" applyNumberFormat="1" applyFont="1" applyBorder="1" applyAlignment="1">
      <alignment vertical="top" wrapText="1"/>
    </xf>
    <xf numFmtId="4" fontId="71" fillId="0" borderId="10" xfId="0" applyNumberFormat="1" applyFont="1" applyBorder="1" applyAlignment="1">
      <alignment vertical="top" wrapText="1"/>
    </xf>
    <xf numFmtId="4" fontId="58" fillId="0" borderId="10" xfId="0" applyNumberFormat="1" applyFont="1" applyBorder="1" applyAlignment="1">
      <alignment vertical="top"/>
    </xf>
    <xf numFmtId="4" fontId="59" fillId="32" borderId="10" xfId="0" applyNumberFormat="1" applyFont="1" applyFill="1" applyBorder="1" applyAlignment="1">
      <alignment vertical="top"/>
    </xf>
    <xf numFmtId="1" fontId="58" fillId="0" borderId="10" xfId="0" applyNumberFormat="1" applyFont="1" applyBorder="1" applyAlignment="1">
      <alignment vertical="top"/>
    </xf>
    <xf numFmtId="1" fontId="59" fillId="0" borderId="10" xfId="0" applyNumberFormat="1" applyFont="1" applyBorder="1" applyAlignment="1">
      <alignment vertical="top" wrapText="1"/>
    </xf>
    <xf numFmtId="1" fontId="58" fillId="0" borderId="10" xfId="0" applyNumberFormat="1" applyFont="1" applyBorder="1" applyAlignment="1">
      <alignment horizontal="center" vertical="center" wrapText="1"/>
    </xf>
    <xf numFmtId="1" fontId="59" fillId="0" borderId="10" xfId="0" applyNumberFormat="1" applyFont="1" applyBorder="1" applyAlignment="1">
      <alignment horizontal="center" vertical="center" wrapText="1"/>
    </xf>
    <xf numFmtId="3" fontId="59" fillId="0" borderId="10" xfId="0" applyNumberFormat="1" applyFont="1" applyBorder="1" applyAlignment="1">
      <alignment vertical="top" wrapText="1"/>
    </xf>
    <xf numFmtId="3" fontId="59" fillId="0" borderId="10" xfId="0" applyNumberFormat="1" applyFont="1" applyBorder="1" applyAlignment="1">
      <alignment horizontal="center" vertical="center" wrapText="1"/>
    </xf>
    <xf numFmtId="3" fontId="58" fillId="0" borderId="10" xfId="0" applyNumberFormat="1" applyFont="1" applyBorder="1" applyAlignment="1">
      <alignment vertical="top" wrapText="1"/>
    </xf>
    <xf numFmtId="3" fontId="58" fillId="0" borderId="10" xfId="0" applyNumberFormat="1" applyFont="1" applyBorder="1" applyAlignment="1">
      <alignment horizontal="center" vertical="center" wrapText="1"/>
    </xf>
    <xf numFmtId="1" fontId="59" fillId="0" borderId="10" xfId="0" applyNumberFormat="1" applyFont="1" applyBorder="1" applyAlignment="1">
      <alignment vertical="top"/>
    </xf>
    <xf numFmtId="1" fontId="58" fillId="0" borderId="10" xfId="0" applyNumberFormat="1" applyFont="1" applyBorder="1" applyAlignment="1">
      <alignment horizontal="center" vertical="center"/>
    </xf>
    <xf numFmtId="1" fontId="73" fillId="0" borderId="10" xfId="0" applyNumberFormat="1" applyFont="1" applyBorder="1" applyAlignment="1">
      <alignment vertical="top" wrapText="1"/>
    </xf>
    <xf numFmtId="0" fontId="74" fillId="0" borderId="10" xfId="0" applyFont="1" applyBorder="1" applyAlignment="1">
      <alignment horizontal="center" vertical="top"/>
    </xf>
    <xf numFmtId="4" fontId="73" fillId="32" borderId="10" xfId="0" applyNumberFormat="1" applyFont="1" applyFill="1" applyBorder="1" applyAlignment="1">
      <alignment vertical="top"/>
    </xf>
    <xf numFmtId="3" fontId="71" fillId="0" borderId="10" xfId="0" applyNumberFormat="1" applyFont="1" applyBorder="1" applyAlignment="1">
      <alignment wrapText="1"/>
    </xf>
    <xf numFmtId="3" fontId="71" fillId="0" borderId="10" xfId="0" applyNumberFormat="1" applyFont="1" applyBorder="1" applyAlignment="1">
      <alignment horizontal="center" vertical="center" wrapText="1"/>
    </xf>
    <xf numFmtId="1" fontId="58" fillId="33" borderId="10" xfId="0" applyNumberFormat="1" applyFont="1" applyFill="1" applyBorder="1" applyAlignment="1">
      <alignment vertical="top"/>
    </xf>
    <xf numFmtId="0" fontId="71" fillId="33" borderId="10" xfId="0" applyFont="1" applyFill="1" applyBorder="1" applyAlignment="1">
      <alignment horizontal="center"/>
    </xf>
    <xf numFmtId="0" fontId="58" fillId="33" borderId="10" xfId="0" applyFont="1" applyFill="1" applyBorder="1" applyAlignment="1">
      <alignment horizontal="center"/>
    </xf>
    <xf numFmtId="0" fontId="58" fillId="33" borderId="16" xfId="0" applyFont="1" applyFill="1" applyBorder="1" applyAlignment="1">
      <alignment horizontal="center"/>
    </xf>
    <xf numFmtId="4" fontId="59" fillId="0" borderId="16" xfId="0" applyNumberFormat="1" applyFont="1" applyBorder="1" applyAlignment="1">
      <alignment vertical="top"/>
    </xf>
    <xf numFmtId="4" fontId="73" fillId="0" borderId="16" xfId="0" applyNumberFormat="1" applyFont="1" applyBorder="1" applyAlignment="1">
      <alignment vertical="top"/>
    </xf>
    <xf numFmtId="4" fontId="72" fillId="0" borderId="16" xfId="0" applyNumberFormat="1" applyFont="1" applyBorder="1" applyAlignment="1">
      <alignment vertical="top" wrapText="1"/>
    </xf>
    <xf numFmtId="4" fontId="71" fillId="0" borderId="16" xfId="0" applyNumberFormat="1" applyFont="1" applyBorder="1" applyAlignment="1">
      <alignment vertical="top" wrapText="1"/>
    </xf>
    <xf numFmtId="4" fontId="58" fillId="0" borderId="16" xfId="0" applyNumberFormat="1" applyFont="1" applyBorder="1" applyAlignment="1">
      <alignment vertical="top"/>
    </xf>
    <xf numFmtId="4" fontId="59" fillId="32" borderId="16" xfId="0" applyNumberFormat="1" applyFont="1" applyFill="1" applyBorder="1" applyAlignment="1">
      <alignment vertical="top"/>
    </xf>
    <xf numFmtId="0" fontId="58" fillId="0" borderId="10" xfId="0" applyFont="1" applyBorder="1" applyAlignment="1">
      <alignment vertical="center" wrapText="1"/>
    </xf>
    <xf numFmtId="2" fontId="9" fillId="32" borderId="10" xfId="0" applyNumberFormat="1" applyFont="1" applyFill="1" applyBorder="1"/>
    <xf numFmtId="4" fontId="9" fillId="32" borderId="10" xfId="0" applyNumberFormat="1" applyFont="1" applyFill="1" applyBorder="1"/>
    <xf numFmtId="4" fontId="84" fillId="32" borderId="10" xfId="0" applyNumberFormat="1" applyFont="1" applyFill="1" applyBorder="1"/>
    <xf numFmtId="4" fontId="90" fillId="31" borderId="10" xfId="0" applyNumberFormat="1" applyFont="1" applyFill="1" applyBorder="1"/>
    <xf numFmtId="0" fontId="116" fillId="0" borderId="0" xfId="0" applyFont="1"/>
    <xf numFmtId="0" fontId="117" fillId="0" borderId="0" xfId="0" applyFont="1"/>
    <xf numFmtId="2" fontId="84" fillId="32" borderId="10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44" fillId="0" borderId="0" xfId="0" applyFont="1"/>
    <xf numFmtId="0" fontId="9" fillId="0" borderId="0" xfId="0" applyFont="1" applyAlignment="1">
      <alignment vertical="center" wrapText="1"/>
    </xf>
    <xf numFmtId="0" fontId="77" fillId="0" borderId="0" xfId="0" applyFont="1"/>
    <xf numFmtId="4" fontId="9" fillId="0" borderId="12" xfId="0" applyNumberFormat="1" applyFont="1" applyBorder="1"/>
    <xf numFmtId="4" fontId="9" fillId="0" borderId="23" xfId="0" applyNumberFormat="1" applyFont="1" applyBorder="1"/>
    <xf numFmtId="0" fontId="118" fillId="0" borderId="0" xfId="0" applyFont="1"/>
    <xf numFmtId="0" fontId="119" fillId="0" borderId="0" xfId="0" applyFont="1"/>
    <xf numFmtId="0" fontId="118" fillId="0" borderId="0" xfId="0" applyFont="1" applyAlignment="1">
      <alignment vertical="center" wrapText="1"/>
    </xf>
    <xf numFmtId="0" fontId="79" fillId="0" borderId="0" xfId="0" applyFont="1"/>
    <xf numFmtId="165" fontId="94" fillId="0" borderId="10" xfId="0" applyNumberFormat="1" applyFont="1" applyBorder="1" applyAlignment="1">
      <alignment horizontal="right"/>
    </xf>
    <xf numFmtId="1" fontId="84" fillId="0" borderId="23" xfId="0" applyNumberFormat="1" applyFont="1" applyBorder="1"/>
    <xf numFmtId="174" fontId="91" fillId="25" borderId="10" xfId="0" applyNumberFormat="1" applyFont="1" applyFill="1" applyBorder="1" applyAlignment="1">
      <alignment horizontal="right"/>
    </xf>
    <xf numFmtId="174" fontId="91" fillId="25" borderId="10" xfId="0" applyNumberFormat="1" applyFont="1" applyFill="1" applyBorder="1"/>
    <xf numFmtId="2" fontId="89" fillId="0" borderId="11" xfId="0" applyNumberFormat="1" applyFont="1" applyBorder="1" applyAlignment="1">
      <alignment horizontal="center"/>
    </xf>
    <xf numFmtId="0" fontId="92" fillId="0" borderId="15" xfId="0" applyFont="1" applyBorder="1"/>
    <xf numFmtId="49" fontId="84" fillId="0" borderId="10" xfId="0" applyNumberFormat="1" applyFont="1" applyBorder="1" applyAlignment="1">
      <alignment horizontal="center" vertical="center"/>
    </xf>
    <xf numFmtId="4" fontId="99" fillId="0" borderId="10" xfId="42" applyNumberFormat="1" applyFont="1" applyBorder="1" applyAlignment="1">
      <alignment horizontal="center" vertical="center" wrapText="1"/>
    </xf>
    <xf numFmtId="4" fontId="99" fillId="25" borderId="10" xfId="42" applyNumberFormat="1" applyFont="1" applyFill="1" applyBorder="1" applyAlignment="1">
      <alignment horizontal="center" vertical="center" wrapText="1"/>
    </xf>
    <xf numFmtId="49" fontId="90" fillId="0" borderId="10" xfId="0" applyNumberFormat="1" applyFont="1" applyBorder="1" applyAlignment="1">
      <alignment horizontal="center" vertical="center"/>
    </xf>
    <xf numFmtId="4" fontId="100" fillId="0" borderId="10" xfId="42" applyNumberFormat="1" applyFont="1" applyBorder="1" applyAlignment="1">
      <alignment horizontal="center" vertical="center" wrapText="1"/>
    </xf>
    <xf numFmtId="49" fontId="89" fillId="0" borderId="10" xfId="0" applyNumberFormat="1" applyFont="1" applyBorder="1" applyAlignment="1">
      <alignment horizontal="center" vertical="center"/>
    </xf>
    <xf numFmtId="172" fontId="94" fillId="25" borderId="10" xfId="42" applyNumberFormat="1" applyFont="1" applyFill="1" applyBorder="1" applyAlignment="1">
      <alignment horizontal="center" vertical="center" wrapText="1"/>
    </xf>
    <xf numFmtId="4" fontId="84" fillId="0" borderId="10" xfId="0" applyNumberFormat="1" applyFont="1" applyBorder="1" applyAlignment="1">
      <alignment horizontal="center" vertical="center"/>
    </xf>
    <xf numFmtId="4" fontId="90" fillId="0" borderId="10" xfId="0" applyNumberFormat="1" applyFont="1" applyBorder="1" applyAlignment="1">
      <alignment horizontal="center" vertical="center"/>
    </xf>
    <xf numFmtId="172" fontId="89" fillId="25" borderId="10" xfId="0" applyNumberFormat="1" applyFont="1" applyFill="1" applyBorder="1" applyAlignment="1">
      <alignment horizontal="center" vertical="center"/>
    </xf>
    <xf numFmtId="4" fontId="89" fillId="26" borderId="14" xfId="0" applyNumberFormat="1" applyFont="1" applyFill="1" applyBorder="1" applyAlignment="1">
      <alignment horizontal="right" vertical="center" wrapText="1"/>
    </xf>
    <xf numFmtId="14" fontId="89" fillId="25" borderId="14" xfId="0" applyNumberFormat="1" applyFont="1" applyFill="1" applyBorder="1" applyAlignment="1">
      <alignment horizontal="center" vertical="center" wrapText="1"/>
    </xf>
    <xf numFmtId="1" fontId="89" fillId="24" borderId="10" xfId="0" applyNumberFormat="1" applyFont="1" applyFill="1" applyBorder="1" applyAlignment="1">
      <alignment horizontal="center" vertical="center" wrapText="1"/>
    </xf>
    <xf numFmtId="1" fontId="85" fillId="24" borderId="10" xfId="0" applyNumberFormat="1" applyFont="1" applyFill="1" applyBorder="1" applyAlignment="1">
      <alignment horizontal="center" vertical="center" wrapText="1"/>
    </xf>
    <xf numFmtId="49" fontId="84" fillId="0" borderId="11" xfId="0" applyNumberFormat="1" applyFont="1" applyBorder="1" applyAlignment="1">
      <alignment horizontal="center" vertical="center"/>
    </xf>
    <xf numFmtId="4" fontId="93" fillId="0" borderId="10" xfId="42" applyNumberFormat="1" applyFont="1" applyBorder="1" applyAlignment="1">
      <alignment horizontal="center" vertical="center" wrapText="1"/>
    </xf>
    <xf numFmtId="4" fontId="85" fillId="0" borderId="10" xfId="0" applyNumberFormat="1" applyFont="1" applyBorder="1" applyAlignment="1">
      <alignment horizontal="center" vertical="center"/>
    </xf>
    <xf numFmtId="4" fontId="93" fillId="26" borderId="10" xfId="42" applyNumberFormat="1" applyFont="1" applyFill="1" applyBorder="1" applyAlignment="1">
      <alignment horizontal="center" vertical="center" wrapText="1"/>
    </xf>
    <xf numFmtId="4" fontId="85" fillId="26" borderId="10" xfId="0" applyNumberFormat="1" applyFont="1" applyFill="1" applyBorder="1" applyAlignment="1">
      <alignment horizontal="center" vertical="center"/>
    </xf>
    <xf numFmtId="49" fontId="85" fillId="0" borderId="10" xfId="0" applyNumberFormat="1" applyFont="1" applyBorder="1" applyAlignment="1">
      <alignment horizontal="center" vertical="center"/>
    </xf>
    <xf numFmtId="0" fontId="93" fillId="0" borderId="10" xfId="42" applyFont="1" applyBorder="1" applyAlignment="1">
      <alignment horizontal="center" vertical="center" wrapText="1"/>
    </xf>
    <xf numFmtId="49" fontId="85" fillId="24" borderId="11" xfId="0" applyNumberFormat="1" applyFont="1" applyFill="1" applyBorder="1" applyAlignment="1">
      <alignment horizontal="right" vertical="center" wrapText="1"/>
    </xf>
    <xf numFmtId="0" fontId="85" fillId="24" borderId="11" xfId="0" applyFont="1" applyFill="1" applyBorder="1" applyAlignment="1">
      <alignment vertical="center" wrapText="1"/>
    </xf>
    <xf numFmtId="2" fontId="85" fillId="24" borderId="22" xfId="0" applyNumberFormat="1" applyFont="1" applyFill="1" applyBorder="1" applyAlignment="1">
      <alignment horizontal="center" vertical="center" wrapText="1"/>
    </xf>
    <xf numFmtId="4" fontId="85" fillId="24" borderId="10" xfId="0" applyNumberFormat="1" applyFont="1" applyFill="1" applyBorder="1" applyAlignment="1">
      <alignment vertical="center" wrapText="1"/>
    </xf>
    <xf numFmtId="4" fontId="85" fillId="24" borderId="11" xfId="0" applyNumberFormat="1" applyFont="1" applyFill="1" applyBorder="1" applyAlignment="1">
      <alignment vertical="center" wrapText="1"/>
    </xf>
    <xf numFmtId="4" fontId="85" fillId="24" borderId="11" xfId="0" applyNumberFormat="1" applyFont="1" applyFill="1" applyBorder="1" applyAlignment="1">
      <alignment horizontal="right" vertical="center" wrapText="1"/>
    </xf>
    <xf numFmtId="0" fontId="101" fillId="0" borderId="0" xfId="0" applyFont="1"/>
    <xf numFmtId="49" fontId="85" fillId="24" borderId="10" xfId="0" applyNumberFormat="1" applyFont="1" applyFill="1" applyBorder="1" applyAlignment="1">
      <alignment horizontal="right" vertical="center" wrapText="1"/>
    </xf>
    <xf numFmtId="0" fontId="85" fillId="24" borderId="10" xfId="0" applyFont="1" applyFill="1" applyBorder="1" applyAlignment="1">
      <alignment vertical="center" wrapText="1"/>
    </xf>
    <xf numFmtId="4" fontId="85" fillId="24" borderId="10" xfId="0" applyNumberFormat="1" applyFont="1" applyFill="1" applyBorder="1" applyAlignment="1">
      <alignment horizontal="right" vertical="center" wrapText="1"/>
    </xf>
    <xf numFmtId="2" fontId="84" fillId="32" borderId="16" xfId="0" applyNumberFormat="1" applyFont="1" applyFill="1" applyBorder="1"/>
    <xf numFmtId="0" fontId="58" fillId="24" borderId="10" xfId="0" applyFont="1" applyFill="1" applyBorder="1" applyAlignment="1">
      <alignment vertical="center" wrapText="1"/>
    </xf>
    <xf numFmtId="0" fontId="58" fillId="24" borderId="10" xfId="0" applyFont="1" applyFill="1" applyBorder="1" applyAlignment="1">
      <alignment horizontal="center" vertical="center"/>
    </xf>
    <xf numFmtId="4" fontId="58" fillId="24" borderId="10" xfId="0" applyNumberFormat="1" applyFont="1" applyFill="1" applyBorder="1" applyAlignment="1">
      <alignment vertical="center"/>
    </xf>
    <xf numFmtId="4" fontId="58" fillId="24" borderId="10" xfId="0" applyNumberFormat="1" applyFont="1" applyFill="1" applyBorder="1" applyAlignment="1" applyProtection="1">
      <alignment vertical="center"/>
      <protection locked="0"/>
    </xf>
    <xf numFmtId="4" fontId="58" fillId="24" borderId="10" xfId="37" applyNumberFormat="1" applyFont="1" applyFill="1" applyBorder="1" applyAlignment="1" applyProtection="1">
      <alignment vertical="center"/>
      <protection locked="0"/>
    </xf>
    <xf numFmtId="0" fontId="118" fillId="0" borderId="0" xfId="0" applyFont="1" applyAlignment="1">
      <alignment horizontal="center" vertical="center" wrapText="1"/>
    </xf>
    <xf numFmtId="49" fontId="90" fillId="0" borderId="0" xfId="0" applyNumberFormat="1" applyFont="1" applyAlignment="1">
      <alignment horizontal="center" vertical="center"/>
    </xf>
    <xf numFmtId="0" fontId="90" fillId="0" borderId="0" xfId="0" applyFont="1" applyAlignment="1">
      <alignment horizontal="left" vertical="center"/>
    </xf>
    <xf numFmtId="0" fontId="90" fillId="0" borderId="0" xfId="0" applyFont="1" applyAlignment="1">
      <alignment horizontal="center" vertical="center"/>
    </xf>
    <xf numFmtId="4" fontId="90" fillId="0" borderId="0" xfId="0" applyNumberFormat="1" applyFont="1" applyAlignment="1">
      <alignment vertical="center"/>
    </xf>
    <xf numFmtId="4" fontId="90" fillId="26" borderId="10" xfId="0" applyNumberFormat="1" applyFont="1" applyFill="1" applyBorder="1" applyAlignment="1">
      <alignment horizontal="center" vertical="center"/>
    </xf>
    <xf numFmtId="2" fontId="84" fillId="26" borderId="10" xfId="0" applyNumberFormat="1" applyFont="1" applyFill="1" applyBorder="1" applyAlignment="1">
      <alignment horizontal="center"/>
    </xf>
    <xf numFmtId="2" fontId="9" fillId="26" borderId="10" xfId="0" applyNumberFormat="1" applyFont="1" applyFill="1" applyBorder="1" applyAlignment="1">
      <alignment horizontal="center"/>
    </xf>
    <xf numFmtId="2" fontId="9" fillId="26" borderId="10" xfId="42" applyNumberFormat="1" applyFont="1" applyFill="1" applyBorder="1" applyAlignment="1">
      <alignment horizontal="center" vertical="center"/>
    </xf>
    <xf numFmtId="0" fontId="84" fillId="0" borderId="10" xfId="0" applyFont="1" applyBorder="1" applyAlignment="1">
      <alignment horizontal="left" indent="1"/>
    </xf>
    <xf numFmtId="172" fontId="94" fillId="0" borderId="10" xfId="0" applyNumberFormat="1" applyFont="1" applyBorder="1" applyAlignment="1">
      <alignment horizontal="right"/>
    </xf>
    <xf numFmtId="2" fontId="89" fillId="0" borderId="0" xfId="0" applyNumberFormat="1" applyFont="1"/>
    <xf numFmtId="0" fontId="94" fillId="0" borderId="11" xfId="0" applyFont="1" applyBorder="1" applyAlignment="1">
      <alignment horizontal="left" vertical="center" wrapText="1" indent="1"/>
    </xf>
    <xf numFmtId="0" fontId="94" fillId="0" borderId="10" xfId="0" applyFont="1" applyBorder="1" applyAlignment="1">
      <alignment horizontal="left" indent="1"/>
    </xf>
    <xf numFmtId="0" fontId="94" fillId="0" borderId="10" xfId="0" applyFont="1" applyBorder="1" applyAlignment="1">
      <alignment horizontal="left" vertical="center" wrapText="1" indent="1"/>
    </xf>
    <xf numFmtId="49" fontId="89" fillId="0" borderId="10" xfId="0" applyNumberFormat="1" applyFont="1" applyBorder="1" applyAlignment="1">
      <alignment horizontal="left" indent="1"/>
    </xf>
    <xf numFmtId="49" fontId="84" fillId="0" borderId="10" xfId="0" applyNumberFormat="1" applyFont="1" applyBorder="1" applyAlignment="1">
      <alignment horizontal="left" indent="1"/>
    </xf>
    <xf numFmtId="49" fontId="84" fillId="0" borderId="10" xfId="0" applyNumberFormat="1" applyFont="1" applyBorder="1" applyAlignment="1">
      <alignment horizontal="left" indent="2"/>
    </xf>
    <xf numFmtId="14" fontId="28" fillId="24" borderId="10" xfId="0" applyNumberFormat="1" applyFont="1" applyFill="1" applyBorder="1" applyAlignment="1">
      <alignment horizontal="center" vertical="center"/>
    </xf>
    <xf numFmtId="169" fontId="1" fillId="0" borderId="10" xfId="0" applyNumberFormat="1" applyFont="1" applyBorder="1"/>
    <xf numFmtId="169" fontId="1" fillId="0" borderId="10" xfId="0" applyNumberFormat="1" applyFont="1" applyBorder="1" applyAlignment="1">
      <alignment horizontal="right"/>
    </xf>
    <xf numFmtId="0" fontId="1" fillId="0" borderId="10" xfId="0" applyFont="1" applyBorder="1"/>
    <xf numFmtId="0" fontId="1" fillId="0" borderId="14" xfId="0" applyFont="1" applyBorder="1"/>
    <xf numFmtId="176" fontId="1" fillId="0" borderId="10" xfId="0" applyNumberFormat="1" applyFont="1" applyBorder="1"/>
    <xf numFmtId="0" fontId="83" fillId="0" borderId="0" xfId="0" applyFont="1" applyAlignment="1">
      <alignment vertical="center"/>
    </xf>
    <xf numFmtId="4" fontId="83" fillId="0" borderId="0" xfId="0" applyNumberFormat="1" applyFont="1" applyAlignment="1">
      <alignment horizontal="center"/>
    </xf>
    <xf numFmtId="0" fontId="131" fillId="0" borderId="0" xfId="0" applyFont="1"/>
    <xf numFmtId="0" fontId="129" fillId="0" borderId="0" xfId="0" applyFont="1"/>
    <xf numFmtId="0" fontId="132" fillId="0" borderId="0" xfId="0" applyFont="1"/>
    <xf numFmtId="0" fontId="133" fillId="0" borderId="0" xfId="0" applyFont="1"/>
    <xf numFmtId="4" fontId="90" fillId="0" borderId="10" xfId="0" applyNumberFormat="1" applyFont="1" applyBorder="1"/>
    <xf numFmtId="0" fontId="129" fillId="0" borderId="0" xfId="0" applyFont="1" applyAlignment="1">
      <alignment vertical="center" wrapText="1"/>
    </xf>
    <xf numFmtId="0" fontId="122" fillId="0" borderId="0" xfId="0" applyFont="1"/>
    <xf numFmtId="0" fontId="130" fillId="0" borderId="0" xfId="0" applyFont="1"/>
    <xf numFmtId="0" fontId="128" fillId="0" borderId="0" xfId="0" applyFont="1"/>
    <xf numFmtId="3" fontId="134" fillId="0" borderId="10" xfId="0" applyNumberFormat="1" applyFont="1" applyBorder="1"/>
    <xf numFmtId="0" fontId="80" fillId="0" borderId="0" xfId="0" applyFont="1" applyAlignment="1">
      <alignment vertical="center" wrapText="1"/>
    </xf>
    <xf numFmtId="0" fontId="109" fillId="0" borderId="0" xfId="0" applyFont="1" applyAlignment="1">
      <alignment horizontal="left" vertical="center" wrapText="1"/>
    </xf>
    <xf numFmtId="0" fontId="109" fillId="0" borderId="0" xfId="0" applyFont="1" applyAlignment="1">
      <alignment horizontal="left" vertical="top" wrapText="1"/>
    </xf>
    <xf numFmtId="4" fontId="28" fillId="25" borderId="10" xfId="0" applyNumberFormat="1" applyFont="1" applyFill="1" applyBorder="1" applyAlignment="1">
      <alignment horizontal="right"/>
    </xf>
    <xf numFmtId="0" fontId="136" fillId="0" borderId="10" xfId="0" applyFont="1" applyBorder="1" applyAlignment="1">
      <alignment horizontal="center"/>
    </xf>
    <xf numFmtId="3" fontId="9" fillId="25" borderId="10" xfId="0" applyNumberFormat="1" applyFont="1" applyFill="1" applyBorder="1"/>
    <xf numFmtId="2" fontId="85" fillId="24" borderId="0" xfId="0" applyNumberFormat="1" applyFont="1" applyFill="1" applyAlignment="1">
      <alignment horizontal="center" vertical="center" wrapText="1"/>
    </xf>
    <xf numFmtId="1" fontId="85" fillId="30" borderId="0" xfId="0" applyNumberFormat="1" applyFont="1" applyFill="1" applyAlignment="1">
      <alignment horizontal="center" vertical="center"/>
    </xf>
    <xf numFmtId="0" fontId="86" fillId="0" borderId="0" xfId="0" applyFont="1" applyAlignment="1">
      <alignment horizontal="left"/>
    </xf>
    <xf numFmtId="166" fontId="84" fillId="0" borderId="0" xfId="0" applyNumberFormat="1" applyFont="1"/>
    <xf numFmtId="4" fontId="84" fillId="25" borderId="0" xfId="0" applyNumberFormat="1" applyFont="1" applyFill="1"/>
    <xf numFmtId="4" fontId="85" fillId="0" borderId="0" xfId="0" applyNumberFormat="1" applyFont="1"/>
    <xf numFmtId="4" fontId="89" fillId="0" borderId="0" xfId="0" applyNumberFormat="1" applyFont="1"/>
    <xf numFmtId="2" fontId="85" fillId="0" borderId="0" xfId="0" applyNumberFormat="1" applyFont="1"/>
    <xf numFmtId="4" fontId="91" fillId="0" borderId="0" xfId="0" applyNumberFormat="1" applyFont="1"/>
    <xf numFmtId="4" fontId="83" fillId="0" borderId="0" xfId="0" applyNumberFormat="1" applyFont="1" applyAlignment="1">
      <alignment vertical="center" wrapText="1"/>
    </xf>
    <xf numFmtId="0" fontId="104" fillId="0" borderId="0" xfId="0" applyFont="1" applyAlignment="1">
      <alignment vertical="center" wrapText="1"/>
    </xf>
    <xf numFmtId="4" fontId="28" fillId="25" borderId="10" xfId="0" applyNumberFormat="1" applyFont="1" applyFill="1" applyBorder="1"/>
    <xf numFmtId="14" fontId="1" fillId="25" borderId="10" xfId="47" applyNumberFormat="1" applyFont="1" applyFill="1" applyBorder="1" applyAlignment="1">
      <alignment horizontal="center" wrapText="1"/>
    </xf>
    <xf numFmtId="2" fontId="9" fillId="25" borderId="10" xfId="0" applyNumberFormat="1" applyFont="1" applyFill="1" applyBorder="1"/>
    <xf numFmtId="4" fontId="1" fillId="25" borderId="10" xfId="0" applyNumberFormat="1" applyFont="1" applyFill="1" applyBorder="1" applyAlignment="1">
      <alignment horizontal="right" vertical="center" wrapText="1"/>
    </xf>
    <xf numFmtId="2" fontId="89" fillId="0" borderId="15" xfId="0" applyNumberFormat="1" applyFont="1" applyBorder="1"/>
    <xf numFmtId="0" fontId="96" fillId="0" borderId="0" xfId="0" applyFont="1" applyAlignment="1">
      <alignment vertical="center" wrapText="1"/>
    </xf>
    <xf numFmtId="49" fontId="89" fillId="0" borderId="1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89" fillId="0" borderId="0" xfId="0" applyFont="1" applyAlignment="1">
      <alignment vertical="center" wrapText="1"/>
    </xf>
    <xf numFmtId="0" fontId="117" fillId="0" borderId="0" xfId="0" applyFont="1" applyAlignment="1">
      <alignment vertical="center"/>
    </xf>
    <xf numFmtId="174" fontId="1" fillId="25" borderId="10" xfId="0" applyNumberFormat="1" applyFont="1" applyFill="1" applyBorder="1" applyAlignment="1">
      <alignment horizontal="right" vertical="center" wrapText="1"/>
    </xf>
    <xf numFmtId="0" fontId="89" fillId="0" borderId="0" xfId="0" applyFont="1" applyAlignment="1">
      <alignment vertical="center"/>
    </xf>
    <xf numFmtId="0" fontId="137" fillId="0" borderId="0" xfId="0" applyFont="1" applyAlignment="1">
      <alignment vertical="center"/>
    </xf>
    <xf numFmtId="4" fontId="96" fillId="0" borderId="0" xfId="0" applyNumberFormat="1" applyFont="1" applyAlignment="1">
      <alignment vertical="center" wrapText="1"/>
    </xf>
    <xf numFmtId="49" fontId="89" fillId="0" borderId="11" xfId="0" applyNumberFormat="1" applyFont="1" applyBorder="1" applyAlignment="1">
      <alignment horizontal="right" vertical="center" wrapText="1"/>
    </xf>
    <xf numFmtId="4" fontId="96" fillId="0" borderId="0" xfId="0" applyNumberFormat="1" applyFont="1"/>
    <xf numFmtId="49" fontId="89" fillId="0" borderId="0" xfId="0" applyNumberFormat="1" applyFont="1" applyAlignment="1">
      <alignment horizontal="right"/>
    </xf>
    <xf numFmtId="49" fontId="89" fillId="0" borderId="11" xfId="0" applyNumberFormat="1" applyFont="1" applyBorder="1" applyAlignment="1">
      <alignment horizontal="center" vertical="center"/>
    </xf>
    <xf numFmtId="4" fontId="94" fillId="0" borderId="10" xfId="42" applyNumberFormat="1" applyFont="1" applyBorder="1" applyAlignment="1">
      <alignment horizontal="center" vertical="center" wrapText="1"/>
    </xf>
    <xf numFmtId="4" fontId="89" fillId="0" borderId="10" xfId="0" applyNumberFormat="1" applyFont="1" applyBorder="1" applyAlignment="1">
      <alignment horizontal="center" vertical="center"/>
    </xf>
    <xf numFmtId="4" fontId="94" fillId="25" borderId="10" xfId="42" applyNumberFormat="1" applyFont="1" applyFill="1" applyBorder="1" applyAlignment="1">
      <alignment horizontal="center" vertical="center" wrapText="1"/>
    </xf>
    <xf numFmtId="2" fontId="1" fillId="31" borderId="10" xfId="0" applyNumberFormat="1" applyFont="1" applyFill="1" applyBorder="1"/>
    <xf numFmtId="2" fontId="94" fillId="26" borderId="10" xfId="0" applyNumberFormat="1" applyFont="1" applyFill="1" applyBorder="1"/>
    <xf numFmtId="4" fontId="85" fillId="26" borderId="10" xfId="0" applyNumberFormat="1" applyFont="1" applyFill="1" applyBorder="1" applyAlignment="1">
      <alignment horizontal="right"/>
    </xf>
    <xf numFmtId="0" fontId="124" fillId="34" borderId="0" xfId="0" applyFont="1" applyFill="1" applyAlignment="1">
      <alignment horizontal="center" vertical="top" wrapText="1"/>
    </xf>
    <xf numFmtId="0" fontId="101" fillId="0" borderId="0" xfId="0" applyFont="1" applyAlignment="1">
      <alignment horizontal="center" vertical="center" wrapText="1"/>
    </xf>
    <xf numFmtId="0" fontId="29" fillId="25" borderId="0" xfId="47" applyFont="1" applyFill="1" applyAlignment="1">
      <alignment horizontal="center"/>
    </xf>
    <xf numFmtId="14" fontId="29" fillId="25" borderId="0" xfId="47" applyNumberFormat="1" applyFont="1" applyFill="1" applyAlignment="1">
      <alignment horizontal="center"/>
    </xf>
    <xf numFmtId="0" fontId="28" fillId="0" borderId="0" xfId="47" applyFont="1" applyAlignment="1">
      <alignment horizontal="center" wrapText="1"/>
    </xf>
    <xf numFmtId="0" fontId="84" fillId="0" borderId="10" xfId="0" applyFont="1" applyBorder="1" applyAlignment="1">
      <alignment horizontal="left" vertical="center"/>
    </xf>
    <xf numFmtId="0" fontId="94" fillId="0" borderId="11" xfId="0" applyFont="1" applyBorder="1" applyAlignment="1">
      <alignment vertical="center"/>
    </xf>
    <xf numFmtId="0" fontId="94" fillId="0" borderId="14" xfId="0" applyFont="1" applyBorder="1" applyAlignment="1">
      <alignment vertical="center"/>
    </xf>
    <xf numFmtId="0" fontId="101" fillId="0" borderId="0" xfId="0" applyFont="1" applyAlignment="1">
      <alignment horizontal="left" vertical="center" wrapText="1"/>
    </xf>
    <xf numFmtId="0" fontId="1" fillId="0" borderId="18" xfId="47" applyFont="1" applyBorder="1" applyAlignment="1">
      <alignment horizontal="right"/>
    </xf>
    <xf numFmtId="0" fontId="1" fillId="0" borderId="33" xfId="47" applyFont="1" applyBorder="1" applyAlignment="1">
      <alignment horizontal="right"/>
    </xf>
    <xf numFmtId="0" fontId="1" fillId="0" borderId="13" xfId="47" applyFont="1" applyBorder="1" applyAlignment="1">
      <alignment horizontal="right"/>
    </xf>
    <xf numFmtId="0" fontId="101" fillId="0" borderId="22" xfId="0" applyFont="1" applyBorder="1" applyAlignment="1">
      <alignment horizontal="center"/>
    </xf>
    <xf numFmtId="0" fontId="101" fillId="0" borderId="15" xfId="0" applyFont="1" applyBorder="1" applyAlignment="1">
      <alignment horizontal="center"/>
    </xf>
    <xf numFmtId="14" fontId="85" fillId="25" borderId="15" xfId="0" applyNumberFormat="1" applyFont="1" applyFill="1" applyBorder="1" applyAlignment="1">
      <alignment horizontal="center"/>
    </xf>
    <xf numFmtId="14" fontId="85" fillId="25" borderId="32" xfId="0" applyNumberFormat="1" applyFont="1" applyFill="1" applyBorder="1" applyAlignment="1">
      <alignment horizontal="center"/>
    </xf>
    <xf numFmtId="0" fontId="94" fillId="0" borderId="10" xfId="0" applyFont="1" applyBorder="1" applyAlignment="1">
      <alignment horizontal="left" wrapText="1"/>
    </xf>
    <xf numFmtId="0" fontId="94" fillId="35" borderId="14" xfId="0" applyFont="1" applyFill="1" applyBorder="1" applyAlignment="1">
      <alignment horizontal="left" wrapText="1"/>
    </xf>
    <xf numFmtId="0" fontId="94" fillId="0" borderId="11" xfId="0" applyFont="1" applyBorder="1" applyAlignment="1">
      <alignment horizontal="left" vertical="center" wrapText="1"/>
    </xf>
    <xf numFmtId="0" fontId="94" fillId="0" borderId="21" xfId="0" applyFont="1" applyBorder="1" applyAlignment="1">
      <alignment horizontal="left" vertical="center" wrapText="1"/>
    </xf>
    <xf numFmtId="0" fontId="120" fillId="0" borderId="0" xfId="0" applyFont="1" applyAlignment="1">
      <alignment horizontal="left" wrapText="1"/>
    </xf>
    <xf numFmtId="49" fontId="130" fillId="25" borderId="10" xfId="0" applyNumberFormat="1" applyFont="1" applyFill="1" applyBorder="1" applyAlignment="1">
      <alignment horizontal="center"/>
    </xf>
    <xf numFmtId="0" fontId="128" fillId="25" borderId="10" xfId="0" applyFont="1" applyFill="1" applyBorder="1" applyAlignment="1">
      <alignment horizontal="left"/>
    </xf>
    <xf numFmtId="0" fontId="89" fillId="25" borderId="10" xfId="0" applyFont="1" applyFill="1" applyBorder="1" applyAlignment="1">
      <alignment horizontal="left"/>
    </xf>
    <xf numFmtId="0" fontId="129" fillId="25" borderId="10" xfId="47" applyFont="1" applyFill="1" applyBorder="1" applyAlignment="1">
      <alignment horizontal="center" wrapText="1"/>
    </xf>
    <xf numFmtId="0" fontId="130" fillId="0" borderId="10" xfId="0" applyFont="1" applyBorder="1" applyAlignment="1">
      <alignment horizontal="center" wrapText="1"/>
    </xf>
    <xf numFmtId="0" fontId="129" fillId="25" borderId="16" xfId="47" applyFont="1" applyFill="1" applyBorder="1" applyAlignment="1" applyProtection="1">
      <alignment horizontal="center" vertical="center" wrapText="1"/>
      <protection locked="0"/>
    </xf>
    <xf numFmtId="0" fontId="129" fillId="25" borderId="17" xfId="47" applyFont="1" applyFill="1" applyBorder="1" applyAlignment="1" applyProtection="1">
      <alignment horizontal="center" vertical="center" wrapText="1"/>
      <protection locked="0"/>
    </xf>
    <xf numFmtId="0" fontId="129" fillId="25" borderId="12" xfId="47" applyFont="1" applyFill="1" applyBorder="1" applyAlignment="1" applyProtection="1">
      <alignment horizontal="center" vertical="center" wrapText="1"/>
      <protection locked="0"/>
    </xf>
    <xf numFmtId="0" fontId="109" fillId="0" borderId="0" xfId="0" applyFont="1" applyAlignment="1">
      <alignment horizontal="left" vertical="center" wrapText="1"/>
    </xf>
    <xf numFmtId="0" fontId="109" fillId="0" borderId="0" xfId="0" applyFont="1" applyAlignment="1">
      <alignment horizontal="left" vertical="top" wrapText="1"/>
    </xf>
    <xf numFmtId="0" fontId="1" fillId="0" borderId="16" xfId="47" applyFont="1" applyBorder="1" applyAlignment="1">
      <alignment horizontal="left"/>
    </xf>
    <xf numFmtId="0" fontId="1" fillId="0" borderId="17" xfId="47" applyFont="1" applyBorder="1" applyAlignment="1">
      <alignment horizontal="left"/>
    </xf>
    <xf numFmtId="0" fontId="1" fillId="0" borderId="12" xfId="47" applyFont="1" applyBorder="1" applyAlignment="1">
      <alignment horizontal="left"/>
    </xf>
    <xf numFmtId="49" fontId="81" fillId="0" borderId="0" xfId="34" applyNumberFormat="1" applyAlignment="1">
      <alignment horizontal="right"/>
    </xf>
    <xf numFmtId="0" fontId="127" fillId="25" borderId="16" xfId="47" applyFont="1" applyFill="1" applyBorder="1" applyAlignment="1">
      <alignment horizontal="center"/>
    </xf>
    <xf numFmtId="0" fontId="127" fillId="25" borderId="17" xfId="47" applyFont="1" applyFill="1" applyBorder="1" applyAlignment="1">
      <alignment horizontal="center"/>
    </xf>
    <xf numFmtId="0" fontId="127" fillId="25" borderId="12" xfId="47" applyFont="1" applyFill="1" applyBorder="1" applyAlignment="1">
      <alignment horizontal="center"/>
    </xf>
    <xf numFmtId="0" fontId="129" fillId="25" borderId="16" xfId="47" applyFont="1" applyFill="1" applyBorder="1" applyAlignment="1">
      <alignment horizontal="center"/>
    </xf>
    <xf numFmtId="0" fontId="129" fillId="25" borderId="17" xfId="47" applyFont="1" applyFill="1" applyBorder="1" applyAlignment="1">
      <alignment horizontal="center"/>
    </xf>
    <xf numFmtId="0" fontId="129" fillId="25" borderId="12" xfId="47" applyFont="1" applyFill="1" applyBorder="1" applyAlignment="1">
      <alignment horizontal="center"/>
    </xf>
    <xf numFmtId="0" fontId="47" fillId="25" borderId="16" xfId="47" applyFont="1" applyFill="1" applyBorder="1" applyAlignment="1">
      <alignment horizontal="center" vertical="center" wrapText="1"/>
    </xf>
    <xf numFmtId="0" fontId="47" fillId="25" borderId="12" xfId="47" applyFont="1" applyFill="1" applyBorder="1" applyAlignment="1">
      <alignment horizontal="center" vertical="center" wrapText="1"/>
    </xf>
    <xf numFmtId="0" fontId="1" fillId="0" borderId="22" xfId="47" applyFont="1" applyBorder="1" applyAlignment="1">
      <alignment horizontal="left" wrapText="1"/>
    </xf>
    <xf numFmtId="0" fontId="1" fillId="0" borderId="15" xfId="47" applyFont="1" applyBorder="1" applyAlignment="1">
      <alignment horizontal="left" wrapText="1"/>
    </xf>
    <xf numFmtId="0" fontId="1" fillId="0" borderId="32" xfId="47" applyFont="1" applyBorder="1" applyAlignment="1">
      <alignment horizontal="left" wrapText="1"/>
    </xf>
    <xf numFmtId="0" fontId="98" fillId="25" borderId="16" xfId="0" applyFont="1" applyFill="1" applyBorder="1" applyAlignment="1">
      <alignment horizontal="left" wrapText="1"/>
    </xf>
    <xf numFmtId="0" fontId="98" fillId="25" borderId="12" xfId="0" applyFont="1" applyFill="1" applyBorder="1" applyAlignment="1">
      <alignment horizontal="left" wrapText="1"/>
    </xf>
    <xf numFmtId="0" fontId="1" fillId="0" borderId="10" xfId="47" applyFont="1" applyBorder="1" applyAlignment="1">
      <alignment horizontal="left"/>
    </xf>
    <xf numFmtId="0" fontId="130" fillId="25" borderId="10" xfId="0" applyFont="1" applyFill="1" applyBorder="1" applyAlignment="1">
      <alignment horizontal="left"/>
    </xf>
    <xf numFmtId="0" fontId="1" fillId="0" borderId="16" xfId="47" applyFont="1" applyBorder="1" applyAlignment="1">
      <alignment horizontal="left" vertical="center"/>
    </xf>
    <xf numFmtId="0" fontId="1" fillId="0" borderId="17" xfId="47" applyFont="1" applyBorder="1" applyAlignment="1">
      <alignment horizontal="left" vertical="center"/>
    </xf>
    <xf numFmtId="0" fontId="1" fillId="0" borderId="12" xfId="47" applyFont="1" applyBorder="1" applyAlignment="1">
      <alignment horizontal="left" vertical="center"/>
    </xf>
    <xf numFmtId="49" fontId="108" fillId="25" borderId="16" xfId="0" applyNumberFormat="1" applyFont="1" applyFill="1" applyBorder="1" applyAlignment="1">
      <alignment horizontal="center"/>
    </xf>
    <xf numFmtId="49" fontId="108" fillId="25" borderId="17" xfId="0" applyNumberFormat="1" applyFont="1" applyFill="1" applyBorder="1" applyAlignment="1">
      <alignment horizontal="center"/>
    </xf>
    <xf numFmtId="49" fontId="108" fillId="25" borderId="12" xfId="0" applyNumberFormat="1" applyFont="1" applyFill="1" applyBorder="1" applyAlignment="1">
      <alignment horizontal="center"/>
    </xf>
    <xf numFmtId="2" fontId="108" fillId="25" borderId="16" xfId="0" applyNumberFormat="1" applyFont="1" applyFill="1" applyBorder="1" applyAlignment="1">
      <alignment horizontal="center"/>
    </xf>
    <xf numFmtId="2" fontId="108" fillId="25" borderId="17" xfId="0" applyNumberFormat="1" applyFont="1" applyFill="1" applyBorder="1" applyAlignment="1">
      <alignment horizontal="center"/>
    </xf>
    <xf numFmtId="2" fontId="108" fillId="25" borderId="12" xfId="0" applyNumberFormat="1" applyFont="1" applyFill="1" applyBorder="1" applyAlignment="1">
      <alignment horizontal="center"/>
    </xf>
    <xf numFmtId="49" fontId="84" fillId="0" borderId="16" xfId="0" applyNumberFormat="1" applyFont="1" applyBorder="1" applyAlignment="1">
      <alignment horizontal="center"/>
    </xf>
    <xf numFmtId="49" fontId="84" fillId="0" borderId="17" xfId="0" applyNumberFormat="1" applyFont="1" applyBorder="1" applyAlignment="1">
      <alignment horizontal="center"/>
    </xf>
    <xf numFmtId="49" fontId="84" fillId="0" borderId="12" xfId="0" applyNumberFormat="1" applyFont="1" applyBorder="1" applyAlignment="1">
      <alignment horizontal="center"/>
    </xf>
    <xf numFmtId="0" fontId="84" fillId="0" borderId="16" xfId="0" applyFont="1" applyBorder="1" applyAlignment="1">
      <alignment horizontal="center"/>
    </xf>
    <xf numFmtId="0" fontId="84" fillId="0" borderId="17" xfId="0" applyFont="1" applyBorder="1" applyAlignment="1">
      <alignment horizontal="center"/>
    </xf>
    <xf numFmtId="0" fontId="84" fillId="0" borderId="12" xfId="0" applyFont="1" applyBorder="1" applyAlignment="1">
      <alignment horizontal="center"/>
    </xf>
    <xf numFmtId="0" fontId="85" fillId="0" borderId="16" xfId="0" applyFont="1" applyBorder="1" applyAlignment="1">
      <alignment horizontal="center"/>
    </xf>
    <xf numFmtId="0" fontId="85" fillId="0" borderId="17" xfId="0" applyFont="1" applyBorder="1" applyAlignment="1">
      <alignment horizontal="center"/>
    </xf>
    <xf numFmtId="0" fontId="85" fillId="0" borderId="12" xfId="0" applyFont="1" applyBorder="1" applyAlignment="1">
      <alignment horizontal="center"/>
    </xf>
    <xf numFmtId="49" fontId="84" fillId="0" borderId="11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9" fontId="85" fillId="0" borderId="10" xfId="0" applyNumberFormat="1" applyFont="1" applyBorder="1" applyAlignment="1">
      <alignment horizontal="right" vertical="center"/>
    </xf>
    <xf numFmtId="0" fontId="85" fillId="0" borderId="10" xfId="0" applyFont="1" applyBorder="1" applyAlignment="1">
      <alignment horizontal="left" vertical="center"/>
    </xf>
    <xf numFmtId="49" fontId="84" fillId="0" borderId="11" xfId="0" applyNumberFormat="1" applyFont="1" applyBorder="1" applyAlignment="1">
      <alignment horizontal="left" vertical="center" indent="1"/>
    </xf>
    <xf numFmtId="49" fontId="0" fillId="0" borderId="14" xfId="0" applyNumberFormat="1" applyBorder="1" applyAlignment="1">
      <alignment horizontal="left" vertical="center" indent="1"/>
    </xf>
    <xf numFmtId="0" fontId="130" fillId="0" borderId="16" xfId="0" applyFont="1" applyBorder="1" applyAlignment="1">
      <alignment horizontal="center"/>
    </xf>
    <xf numFmtId="0" fontId="130" fillId="0" borderId="17" xfId="0" applyFont="1" applyBorder="1" applyAlignment="1">
      <alignment horizontal="center"/>
    </xf>
    <xf numFmtId="0" fontId="130" fillId="0" borderId="12" xfId="0" applyFont="1" applyBorder="1" applyAlignment="1">
      <alignment horizontal="center"/>
    </xf>
    <xf numFmtId="0" fontId="50" fillId="25" borderId="10" xfId="47" applyFont="1" applyFill="1" applyBorder="1" applyAlignment="1">
      <alignment horizontal="center" wrapText="1"/>
    </xf>
    <xf numFmtId="0" fontId="87" fillId="0" borderId="0" xfId="0" applyFont="1" applyAlignment="1">
      <alignment horizontal="right"/>
    </xf>
    <xf numFmtId="2" fontId="87" fillId="0" borderId="0" xfId="0" applyNumberFormat="1" applyFont="1" applyAlignment="1">
      <alignment horizontal="right"/>
    </xf>
    <xf numFmtId="49" fontId="84" fillId="0" borderId="10" xfId="0" applyNumberFormat="1" applyFont="1" applyBorder="1" applyAlignment="1">
      <alignment horizontal="center"/>
    </xf>
    <xf numFmtId="0" fontId="130" fillId="26" borderId="16" xfId="0" applyFont="1" applyFill="1" applyBorder="1" applyAlignment="1">
      <alignment horizontal="center"/>
    </xf>
    <xf numFmtId="0" fontId="130" fillId="26" borderId="17" xfId="0" applyFont="1" applyFill="1" applyBorder="1" applyAlignment="1">
      <alignment horizontal="center"/>
    </xf>
    <xf numFmtId="0" fontId="130" fillId="26" borderId="12" xfId="0" applyFont="1" applyFill="1" applyBorder="1" applyAlignment="1">
      <alignment horizontal="center"/>
    </xf>
    <xf numFmtId="0" fontId="88" fillId="0" borderId="16" xfId="0" applyFont="1" applyBorder="1" applyAlignment="1">
      <alignment horizontal="left"/>
    </xf>
    <xf numFmtId="0" fontId="88" fillId="0" borderId="17" xfId="0" applyFont="1" applyBorder="1" applyAlignment="1">
      <alignment horizontal="left"/>
    </xf>
    <xf numFmtId="0" fontId="88" fillId="0" borderId="12" xfId="0" applyFont="1" applyBorder="1" applyAlignment="1">
      <alignment horizontal="left"/>
    </xf>
    <xf numFmtId="0" fontId="84" fillId="0" borderId="10" xfId="0" applyFont="1" applyBorder="1" applyAlignment="1">
      <alignment horizontal="left" indent="1"/>
    </xf>
    <xf numFmtId="0" fontId="84" fillId="25" borderId="16" xfId="0" applyFont="1" applyFill="1" applyBorder="1" applyAlignment="1">
      <alignment horizontal="center" vertical="center"/>
    </xf>
    <xf numFmtId="0" fontId="84" fillId="25" borderId="17" xfId="0" applyFont="1" applyFill="1" applyBorder="1" applyAlignment="1">
      <alignment horizontal="center" vertical="center"/>
    </xf>
    <xf numFmtId="0" fontId="84" fillId="25" borderId="12" xfId="0" applyFont="1" applyFill="1" applyBorder="1" applyAlignment="1">
      <alignment horizontal="center" vertical="center"/>
    </xf>
    <xf numFmtId="0" fontId="85" fillId="0" borderId="16" xfId="0" applyFont="1" applyBorder="1" applyAlignment="1">
      <alignment horizontal="left"/>
    </xf>
    <xf numFmtId="0" fontId="85" fillId="0" borderId="17" xfId="0" applyFont="1" applyBorder="1" applyAlignment="1">
      <alignment horizontal="left"/>
    </xf>
    <xf numFmtId="0" fontId="85" fillId="0" borderId="12" xfId="0" applyFont="1" applyBorder="1" applyAlignment="1">
      <alignment horizontal="left"/>
    </xf>
    <xf numFmtId="0" fontId="130" fillId="25" borderId="16" xfId="0" applyFont="1" applyFill="1" applyBorder="1" applyAlignment="1">
      <alignment horizontal="center" vertical="center"/>
    </xf>
    <xf numFmtId="0" fontId="130" fillId="25" borderId="17" xfId="0" applyFont="1" applyFill="1" applyBorder="1" applyAlignment="1">
      <alignment horizontal="center" vertical="center"/>
    </xf>
    <xf numFmtId="0" fontId="130" fillId="25" borderId="12" xfId="0" applyFont="1" applyFill="1" applyBorder="1" applyAlignment="1">
      <alignment horizontal="center" vertical="center"/>
    </xf>
    <xf numFmtId="0" fontId="85" fillId="0" borderId="18" xfId="0" applyFont="1" applyBorder="1" applyAlignment="1">
      <alignment horizontal="left"/>
    </xf>
    <xf numFmtId="0" fontId="85" fillId="0" borderId="33" xfId="0" applyFont="1" applyBorder="1" applyAlignment="1">
      <alignment horizontal="left"/>
    </xf>
    <xf numFmtId="0" fontId="85" fillId="0" borderId="13" xfId="0" applyFont="1" applyBorder="1" applyAlignment="1">
      <alignment horizontal="left"/>
    </xf>
    <xf numFmtId="0" fontId="85" fillId="0" borderId="22" xfId="0" applyFont="1" applyBorder="1" applyAlignment="1">
      <alignment horizontal="left"/>
    </xf>
    <xf numFmtId="0" fontId="85" fillId="0" borderId="15" xfId="0" applyFont="1" applyBorder="1" applyAlignment="1">
      <alignment horizontal="left"/>
    </xf>
    <xf numFmtId="0" fontId="85" fillId="0" borderId="32" xfId="0" applyFont="1" applyBorder="1" applyAlignment="1">
      <alignment horizontal="left"/>
    </xf>
    <xf numFmtId="0" fontId="84" fillId="0" borderId="10" xfId="0" applyFont="1" applyBorder="1" applyAlignment="1">
      <alignment horizontal="left"/>
    </xf>
    <xf numFmtId="0" fontId="83" fillId="0" borderId="10" xfId="0" applyFont="1" applyBorder="1" applyAlignment="1">
      <alignment horizontal="left"/>
    </xf>
    <xf numFmtId="0" fontId="85" fillId="24" borderId="16" xfId="0" applyFont="1" applyFill="1" applyBorder="1" applyAlignment="1">
      <alignment horizontal="center" vertical="center"/>
    </xf>
    <xf numFmtId="0" fontId="85" fillId="24" borderId="17" xfId="0" applyFont="1" applyFill="1" applyBorder="1" applyAlignment="1">
      <alignment horizontal="center" vertical="center"/>
    </xf>
    <xf numFmtId="0" fontId="85" fillId="24" borderId="12" xfId="0" applyFont="1" applyFill="1" applyBorder="1" applyAlignment="1">
      <alignment horizontal="center" vertical="center"/>
    </xf>
    <xf numFmtId="0" fontId="84" fillId="0" borderId="18" xfId="0" applyFont="1" applyBorder="1" applyAlignment="1">
      <alignment horizontal="left" wrapText="1"/>
    </xf>
    <xf numFmtId="0" fontId="84" fillId="0" borderId="33" xfId="0" applyFont="1" applyBorder="1" applyAlignment="1">
      <alignment horizontal="left" wrapText="1"/>
    </xf>
    <xf numFmtId="0" fontId="84" fillId="0" borderId="13" xfId="0" applyFont="1" applyBorder="1" applyAlignment="1">
      <alignment horizontal="left" wrapText="1"/>
    </xf>
    <xf numFmtId="0" fontId="84" fillId="0" borderId="19" xfId="0" applyFont="1" applyBorder="1" applyAlignment="1">
      <alignment horizontal="left" wrapText="1"/>
    </xf>
    <xf numFmtId="0" fontId="84" fillId="0" borderId="0" xfId="0" applyFont="1" applyAlignment="1">
      <alignment horizontal="left" wrapText="1"/>
    </xf>
    <xf numFmtId="0" fontId="84" fillId="0" borderId="20" xfId="0" applyFont="1" applyBorder="1" applyAlignment="1">
      <alignment horizontal="left" wrapText="1"/>
    </xf>
    <xf numFmtId="0" fontId="84" fillId="0" borderId="22" xfId="0" applyFont="1" applyBorder="1" applyAlignment="1">
      <alignment horizontal="left" wrapText="1"/>
    </xf>
    <xf numFmtId="0" fontId="84" fillId="0" borderId="15" xfId="0" applyFont="1" applyBorder="1" applyAlignment="1">
      <alignment horizontal="left" wrapText="1"/>
    </xf>
    <xf numFmtId="0" fontId="84" fillId="0" borderId="32" xfId="0" applyFont="1" applyBorder="1" applyAlignment="1">
      <alignment horizontal="left" wrapText="1"/>
    </xf>
    <xf numFmtId="0" fontId="85" fillId="24" borderId="10" xfId="0" applyFont="1" applyFill="1" applyBorder="1" applyAlignment="1">
      <alignment horizontal="left" vertical="center" wrapText="1"/>
    </xf>
    <xf numFmtId="0" fontId="112" fillId="0" borderId="34" xfId="0" applyFont="1" applyBorder="1" applyAlignment="1">
      <alignment horizontal="center" vertical="center" wrapText="1"/>
    </xf>
    <xf numFmtId="0" fontId="112" fillId="0" borderId="35" xfId="0" applyFont="1" applyBorder="1" applyAlignment="1">
      <alignment horizontal="center" vertical="center" wrapText="1"/>
    </xf>
    <xf numFmtId="0" fontId="112" fillId="0" borderId="19" xfId="0" applyFont="1" applyBorder="1" applyAlignment="1">
      <alignment horizontal="center" vertical="center" wrapText="1"/>
    </xf>
    <xf numFmtId="0" fontId="112" fillId="0" borderId="36" xfId="0" applyFont="1" applyBorder="1" applyAlignment="1">
      <alignment horizontal="center" vertical="center" wrapText="1"/>
    </xf>
    <xf numFmtId="0" fontId="112" fillId="0" borderId="22" xfId="0" applyFont="1" applyBorder="1" applyAlignment="1">
      <alignment horizontal="center" vertical="center" wrapText="1"/>
    </xf>
    <xf numFmtId="0" fontId="112" fillId="0" borderId="37" xfId="0" applyFont="1" applyBorder="1" applyAlignment="1">
      <alignment horizontal="center" vertical="center" wrapText="1"/>
    </xf>
    <xf numFmtId="0" fontId="84" fillId="24" borderId="38" xfId="0" applyFont="1" applyFill="1" applyBorder="1" applyAlignment="1">
      <alignment horizontal="center" vertical="center" wrapText="1"/>
    </xf>
    <xf numFmtId="0" fontId="84" fillId="24" borderId="39" xfId="0" applyFont="1" applyFill="1" applyBorder="1" applyAlignment="1">
      <alignment horizontal="center" vertical="center" wrapText="1"/>
    </xf>
    <xf numFmtId="0" fontId="84" fillId="24" borderId="24" xfId="0" applyFont="1" applyFill="1" applyBorder="1" applyAlignment="1">
      <alignment horizontal="center" vertical="center" wrapText="1"/>
    </xf>
    <xf numFmtId="0" fontId="84" fillId="24" borderId="40" xfId="0" applyFont="1" applyFill="1" applyBorder="1" applyAlignment="1">
      <alignment horizontal="center" vertical="center" wrapText="1"/>
    </xf>
    <xf numFmtId="0" fontId="84" fillId="24" borderId="41" xfId="0" applyFont="1" applyFill="1" applyBorder="1" applyAlignment="1">
      <alignment horizontal="center" vertical="center" wrapText="1"/>
    </xf>
    <xf numFmtId="0" fontId="84" fillId="24" borderId="23" xfId="0" applyFont="1" applyFill="1" applyBorder="1" applyAlignment="1">
      <alignment horizontal="left" vertical="center"/>
    </xf>
    <xf numFmtId="0" fontId="84" fillId="24" borderId="10" xfId="0" applyFont="1" applyFill="1" applyBorder="1" applyAlignment="1">
      <alignment horizontal="center" vertical="center" wrapText="1"/>
    </xf>
    <xf numFmtId="0" fontId="84" fillId="24" borderId="23" xfId="0" applyFont="1" applyFill="1" applyBorder="1" applyAlignment="1">
      <alignment horizontal="center" vertical="center" wrapText="1"/>
    </xf>
    <xf numFmtId="0" fontId="84" fillId="24" borderId="11" xfId="0" applyFont="1" applyFill="1" applyBorder="1" applyAlignment="1">
      <alignment horizontal="center" vertical="center" wrapText="1"/>
    </xf>
    <xf numFmtId="0" fontId="84" fillId="24" borderId="14" xfId="0" applyFont="1" applyFill="1" applyBorder="1" applyAlignment="1">
      <alignment horizontal="center" vertical="center" wrapText="1"/>
    </xf>
    <xf numFmtId="0" fontId="84" fillId="24" borderId="12" xfId="0" applyFont="1" applyFill="1" applyBorder="1" applyAlignment="1">
      <alignment horizontal="center" vertical="center" wrapText="1"/>
    </xf>
    <xf numFmtId="0" fontId="84" fillId="24" borderId="38" xfId="0" applyFont="1" applyFill="1" applyBorder="1" applyAlignment="1">
      <alignment horizontal="left" vertical="center"/>
    </xf>
    <xf numFmtId="0" fontId="84" fillId="24" borderId="39" xfId="0" applyFont="1" applyFill="1" applyBorder="1" applyAlignment="1">
      <alignment horizontal="left" vertical="center"/>
    </xf>
    <xf numFmtId="3" fontId="85" fillId="29" borderId="10" xfId="0" applyNumberFormat="1" applyFont="1" applyFill="1" applyBorder="1" applyAlignment="1">
      <alignment horizontal="center"/>
    </xf>
    <xf numFmtId="4" fontId="83" fillId="0" borderId="10" xfId="0" applyNumberFormat="1" applyFont="1" applyBorder="1" applyAlignment="1">
      <alignment horizontal="center"/>
    </xf>
    <xf numFmtId="4" fontId="85" fillId="29" borderId="10" xfId="0" applyNumberFormat="1" applyFont="1" applyFill="1" applyBorder="1" applyAlignment="1">
      <alignment horizontal="center"/>
    </xf>
    <xf numFmtId="0" fontId="97" fillId="0" borderId="0" xfId="0" applyFont="1" applyAlignment="1">
      <alignment horizontal="center"/>
    </xf>
    <xf numFmtId="49" fontId="84" fillId="0" borderId="15" xfId="0" applyNumberFormat="1" applyFont="1" applyBorder="1" applyAlignment="1">
      <alignment horizontal="center"/>
    </xf>
    <xf numFmtId="0" fontId="84" fillId="0" borderId="15" xfId="0" applyFont="1" applyBorder="1" applyAlignment="1">
      <alignment horizontal="center"/>
    </xf>
    <xf numFmtId="0" fontId="84" fillId="0" borderId="10" xfId="0" applyFont="1" applyBorder="1" applyAlignment="1">
      <alignment horizontal="center"/>
    </xf>
    <xf numFmtId="0" fontId="86" fillId="0" borderId="16" xfId="0" applyFont="1" applyBorder="1" applyAlignment="1">
      <alignment horizontal="left"/>
    </xf>
    <xf numFmtId="0" fontId="86" fillId="0" borderId="17" xfId="0" applyFont="1" applyBorder="1" applyAlignment="1">
      <alignment horizontal="left"/>
    </xf>
    <xf numFmtId="0" fontId="86" fillId="0" borderId="12" xfId="0" applyFont="1" applyBorder="1" applyAlignment="1">
      <alignment horizontal="left"/>
    </xf>
    <xf numFmtId="0" fontId="86" fillId="0" borderId="10" xfId="0" applyFont="1" applyBorder="1" applyAlignment="1">
      <alignment horizontal="left"/>
    </xf>
    <xf numFmtId="49" fontId="85" fillId="0" borderId="10" xfId="0" applyNumberFormat="1" applyFont="1" applyBorder="1" applyAlignment="1">
      <alignment horizontal="center"/>
    </xf>
    <xf numFmtId="3" fontId="85" fillId="0" borderId="16" xfId="0" applyNumberFormat="1" applyFont="1" applyBorder="1" applyAlignment="1">
      <alignment horizontal="left"/>
    </xf>
    <xf numFmtId="3" fontId="85" fillId="0" borderId="17" xfId="0" applyNumberFormat="1" applyFont="1" applyBorder="1" applyAlignment="1">
      <alignment horizontal="left"/>
    </xf>
    <xf numFmtId="3" fontId="85" fillId="0" borderId="12" xfId="0" applyNumberFormat="1" applyFont="1" applyBorder="1" applyAlignment="1">
      <alignment horizontal="left"/>
    </xf>
    <xf numFmtId="4" fontId="85" fillId="0" borderId="11" xfId="0" applyNumberFormat="1" applyFont="1" applyBorder="1" applyAlignment="1">
      <alignment horizontal="center"/>
    </xf>
    <xf numFmtId="4" fontId="85" fillId="0" borderId="21" xfId="0" applyNumberFormat="1" applyFont="1" applyBorder="1" applyAlignment="1">
      <alignment horizontal="center"/>
    </xf>
    <xf numFmtId="4" fontId="85" fillId="0" borderId="14" xfId="0" applyNumberFormat="1" applyFont="1" applyBorder="1" applyAlignment="1">
      <alignment horizontal="center"/>
    </xf>
    <xf numFmtId="3" fontId="49" fillId="0" borderId="10" xfId="0" applyNumberFormat="1" applyFont="1" applyBorder="1" applyAlignment="1">
      <alignment horizontal="left"/>
    </xf>
    <xf numFmtId="3" fontId="86" fillId="0" borderId="16" xfId="0" applyNumberFormat="1" applyFont="1" applyBorder="1" applyAlignment="1">
      <alignment horizontal="left"/>
    </xf>
    <xf numFmtId="3" fontId="86" fillId="0" borderId="17" xfId="0" applyNumberFormat="1" applyFont="1" applyBorder="1" applyAlignment="1">
      <alignment horizontal="left"/>
    </xf>
    <xf numFmtId="3" fontId="86" fillId="0" borderId="12" xfId="0" applyNumberFormat="1" applyFont="1" applyBorder="1" applyAlignment="1">
      <alignment horizontal="left"/>
    </xf>
    <xf numFmtId="49" fontId="84" fillId="0" borderId="10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3" fontId="86" fillId="0" borderId="10" xfId="0" applyNumberFormat="1" applyFont="1" applyBorder="1" applyAlignment="1">
      <alignment horizontal="left"/>
    </xf>
    <xf numFmtId="2" fontId="106" fillId="27" borderId="16" xfId="0" applyNumberFormat="1" applyFont="1" applyFill="1" applyBorder="1" applyAlignment="1">
      <alignment horizontal="center" vertical="center" wrapText="1"/>
    </xf>
    <xf numFmtId="2" fontId="106" fillId="27" borderId="12" xfId="0" applyNumberFormat="1" applyFont="1" applyFill="1" applyBorder="1" applyAlignment="1">
      <alignment horizontal="center" vertical="center" wrapText="1"/>
    </xf>
    <xf numFmtId="0" fontId="106" fillId="24" borderId="10" xfId="0" applyFont="1" applyFill="1" applyBorder="1" applyAlignment="1">
      <alignment horizontal="center" vertical="center"/>
    </xf>
    <xf numFmtId="0" fontId="106" fillId="27" borderId="11" xfId="0" applyFont="1" applyFill="1" applyBorder="1" applyAlignment="1">
      <alignment horizontal="center" vertical="center" wrapText="1"/>
    </xf>
    <xf numFmtId="0" fontId="106" fillId="27" borderId="14" xfId="0" applyFont="1" applyFill="1" applyBorder="1" applyAlignment="1">
      <alignment horizontal="center" vertical="center" wrapText="1"/>
    </xf>
    <xf numFmtId="2" fontId="89" fillId="0" borderId="21" xfId="0" applyNumberFormat="1" applyFont="1" applyBorder="1" applyAlignment="1">
      <alignment horizontal="center" vertical="center" wrapText="1"/>
    </xf>
    <xf numFmtId="2" fontId="89" fillId="0" borderId="10" xfId="0" applyNumberFormat="1" applyFont="1" applyBorder="1" applyAlignment="1">
      <alignment horizontal="center" vertical="center" wrapText="1"/>
    </xf>
    <xf numFmtId="0" fontId="86" fillId="0" borderId="10" xfId="0" applyFont="1" applyBorder="1" applyAlignment="1">
      <alignment horizontal="left" vertical="center" wrapText="1"/>
    </xf>
    <xf numFmtId="2" fontId="85" fillId="0" borderId="11" xfId="0" applyNumberFormat="1" applyFont="1" applyBorder="1" applyAlignment="1">
      <alignment horizontal="center" vertical="center" wrapText="1"/>
    </xf>
    <xf numFmtId="2" fontId="85" fillId="0" borderId="21" xfId="0" applyNumberFormat="1" applyFont="1" applyBorder="1" applyAlignment="1">
      <alignment horizontal="center" vertical="center" wrapText="1"/>
    </xf>
    <xf numFmtId="2" fontId="85" fillId="0" borderId="14" xfId="0" applyNumberFormat="1" applyFont="1" applyBorder="1" applyAlignment="1">
      <alignment horizontal="center" vertical="center" wrapText="1"/>
    </xf>
    <xf numFmtId="0" fontId="106" fillId="29" borderId="16" xfId="0" applyFont="1" applyFill="1" applyBorder="1" applyAlignment="1">
      <alignment horizontal="center" vertical="center" wrapText="1"/>
    </xf>
    <xf numFmtId="0" fontId="106" fillId="29" borderId="12" xfId="0" applyFont="1" applyFill="1" applyBorder="1" applyAlignment="1">
      <alignment horizontal="center" vertical="center" wrapText="1"/>
    </xf>
    <xf numFmtId="2" fontId="96" fillId="24" borderId="10" xfId="0" applyNumberFormat="1" applyFont="1" applyFill="1" applyBorder="1" applyAlignment="1">
      <alignment horizontal="center" vertical="center" wrapText="1"/>
    </xf>
    <xf numFmtId="1" fontId="106" fillId="29" borderId="16" xfId="0" applyNumberFormat="1" applyFont="1" applyFill="1" applyBorder="1" applyAlignment="1">
      <alignment horizontal="center" vertical="center" wrapText="1"/>
    </xf>
    <xf numFmtId="1" fontId="106" fillId="29" borderId="17" xfId="0" applyNumberFormat="1" applyFont="1" applyFill="1" applyBorder="1" applyAlignment="1">
      <alignment horizontal="center" vertical="center" wrapText="1"/>
    </xf>
    <xf numFmtId="2" fontId="89" fillId="0" borderId="15" xfId="0" applyNumberFormat="1" applyFont="1" applyBorder="1" applyAlignment="1">
      <alignment horizontal="center"/>
    </xf>
    <xf numFmtId="49" fontId="85" fillId="24" borderId="11" xfId="0" applyNumberFormat="1" applyFont="1" applyFill="1" applyBorder="1" applyAlignment="1">
      <alignment horizontal="center" vertical="center" wrapText="1"/>
    </xf>
    <xf numFmtId="49" fontId="85" fillId="24" borderId="21" xfId="0" applyNumberFormat="1" applyFont="1" applyFill="1" applyBorder="1" applyAlignment="1">
      <alignment horizontal="center" vertical="center" wrapText="1"/>
    </xf>
    <xf numFmtId="0" fontId="106" fillId="27" borderId="10" xfId="0" applyFont="1" applyFill="1" applyBorder="1" applyAlignment="1">
      <alignment horizontal="center" vertical="center" wrapText="1"/>
    </xf>
    <xf numFmtId="0" fontId="135" fillId="27" borderId="11" xfId="0" applyFont="1" applyFill="1" applyBorder="1" applyAlignment="1">
      <alignment horizontal="center" vertical="center" wrapText="1"/>
    </xf>
    <xf numFmtId="0" fontId="135" fillId="27" borderId="21" xfId="0" applyFont="1" applyFill="1" applyBorder="1" applyAlignment="1">
      <alignment horizontal="center" vertical="center" wrapText="1"/>
    </xf>
    <xf numFmtId="0" fontId="135" fillId="27" borderId="14" xfId="0" applyFont="1" applyFill="1" applyBorder="1" applyAlignment="1">
      <alignment horizontal="center" vertical="center" wrapText="1"/>
    </xf>
    <xf numFmtId="0" fontId="106" fillId="27" borderId="21" xfId="0" applyFont="1" applyFill="1" applyBorder="1" applyAlignment="1">
      <alignment horizontal="center" vertical="center" wrapText="1"/>
    </xf>
    <xf numFmtId="0" fontId="85" fillId="27" borderId="10" xfId="0" applyFont="1" applyFill="1" applyBorder="1" applyAlignment="1">
      <alignment horizontal="center" vertical="center" wrapText="1"/>
    </xf>
    <xf numFmtId="0" fontId="85" fillId="27" borderId="11" xfId="0" applyFont="1" applyFill="1" applyBorder="1" applyAlignment="1">
      <alignment horizontal="center" vertical="center" wrapText="1"/>
    </xf>
    <xf numFmtId="49" fontId="89" fillId="0" borderId="10" xfId="0" applyNumberFormat="1" applyFont="1" applyBorder="1" applyAlignment="1">
      <alignment horizontal="center" vertical="center" wrapText="1"/>
    </xf>
    <xf numFmtId="2" fontId="96" fillId="0" borderId="18" xfId="0" applyNumberFormat="1" applyFont="1" applyBorder="1" applyAlignment="1">
      <alignment horizontal="center" vertical="center" wrapText="1"/>
    </xf>
    <xf numFmtId="2" fontId="96" fillId="0" borderId="33" xfId="0" applyNumberFormat="1" applyFont="1" applyBorder="1" applyAlignment="1">
      <alignment horizontal="center" vertical="center" wrapText="1"/>
    </xf>
    <xf numFmtId="2" fontId="96" fillId="0" borderId="13" xfId="0" applyNumberFormat="1" applyFont="1" applyBorder="1" applyAlignment="1">
      <alignment horizontal="center" vertical="center" wrapText="1"/>
    </xf>
    <xf numFmtId="2" fontId="89" fillId="0" borderId="18" xfId="0" applyNumberFormat="1" applyFont="1" applyBorder="1" applyAlignment="1">
      <alignment horizontal="center" vertical="center" wrapText="1"/>
    </xf>
    <xf numFmtId="2" fontId="89" fillId="0" borderId="13" xfId="0" applyNumberFormat="1" applyFont="1" applyBorder="1" applyAlignment="1">
      <alignment horizontal="center" vertical="center" wrapText="1"/>
    </xf>
    <xf numFmtId="2" fontId="89" fillId="0" borderId="19" xfId="0" applyNumberFormat="1" applyFont="1" applyBorder="1" applyAlignment="1">
      <alignment horizontal="center" vertical="center" wrapText="1"/>
    </xf>
    <xf numFmtId="2" fontId="89" fillId="0" borderId="20" xfId="0" applyNumberFormat="1" applyFont="1" applyBorder="1" applyAlignment="1">
      <alignment horizontal="center" vertical="center" wrapText="1"/>
    </xf>
    <xf numFmtId="2" fontId="89" fillId="0" borderId="22" xfId="0" applyNumberFormat="1" applyFont="1" applyBorder="1" applyAlignment="1">
      <alignment horizontal="center" vertical="center" wrapText="1"/>
    </xf>
    <xf numFmtId="2" fontId="89" fillId="0" borderId="32" xfId="0" applyNumberFormat="1" applyFont="1" applyBorder="1" applyAlignment="1">
      <alignment horizontal="center" vertical="center" wrapText="1"/>
    </xf>
    <xf numFmtId="0" fontId="97" fillId="0" borderId="0" xfId="0" applyFont="1" applyAlignment="1">
      <alignment horizontal="left"/>
    </xf>
    <xf numFmtId="0" fontId="93" fillId="0" borderId="16" xfId="42" applyFont="1" applyBorder="1" applyAlignment="1">
      <alignment horizontal="left" vertical="center" wrapText="1"/>
    </xf>
    <xf numFmtId="0" fontId="93" fillId="0" borderId="17" xfId="42" applyFont="1" applyBorder="1" applyAlignment="1">
      <alignment horizontal="left" vertical="center" wrapText="1"/>
    </xf>
    <xf numFmtId="0" fontId="93" fillId="0" borderId="12" xfId="42" applyFont="1" applyBorder="1" applyAlignment="1">
      <alignment horizontal="left" vertical="center" wrapText="1"/>
    </xf>
    <xf numFmtId="0" fontId="94" fillId="0" borderId="16" xfId="42" applyFont="1" applyBorder="1" applyAlignment="1">
      <alignment horizontal="left" vertical="center" wrapText="1"/>
    </xf>
    <xf numFmtId="0" fontId="94" fillId="0" borderId="17" xfId="42" applyFont="1" applyBorder="1" applyAlignment="1">
      <alignment horizontal="left" vertical="center" wrapText="1"/>
    </xf>
    <xf numFmtId="0" fontId="94" fillId="0" borderId="12" xfId="42" applyFont="1" applyBorder="1" applyAlignment="1">
      <alignment horizontal="left" vertical="center" wrapText="1"/>
    </xf>
    <xf numFmtId="174" fontId="106" fillId="29" borderId="16" xfId="0" applyNumberFormat="1" applyFont="1" applyFill="1" applyBorder="1" applyAlignment="1">
      <alignment horizontal="center" vertical="center" wrapText="1"/>
    </xf>
    <xf numFmtId="174" fontId="106" fillId="29" borderId="12" xfId="0" applyNumberFormat="1" applyFont="1" applyFill="1" applyBorder="1" applyAlignment="1">
      <alignment horizontal="center" vertical="center" wrapText="1"/>
    </xf>
    <xf numFmtId="2" fontId="89" fillId="0" borderId="11" xfId="0" applyNumberFormat="1" applyFont="1" applyBorder="1" applyAlignment="1">
      <alignment horizontal="center" vertical="center" wrapText="1"/>
    </xf>
    <xf numFmtId="2" fontId="89" fillId="24" borderId="10" xfId="0" applyNumberFormat="1" applyFont="1" applyFill="1" applyBorder="1" applyAlignment="1">
      <alignment horizontal="center" vertical="center" wrapText="1"/>
    </xf>
    <xf numFmtId="4" fontId="89" fillId="26" borderId="16" xfId="0" applyNumberFormat="1" applyFont="1" applyFill="1" applyBorder="1" applyAlignment="1">
      <alignment horizontal="center" vertical="center" wrapText="1"/>
    </xf>
    <xf numFmtId="4" fontId="89" fillId="26" borderId="17" xfId="0" applyNumberFormat="1" applyFont="1" applyFill="1" applyBorder="1" applyAlignment="1">
      <alignment horizontal="center" vertical="center" wrapText="1"/>
    </xf>
    <xf numFmtId="4" fontId="89" fillId="26" borderId="12" xfId="0" applyNumberFormat="1" applyFont="1" applyFill="1" applyBorder="1" applyAlignment="1">
      <alignment horizontal="center" vertical="center" wrapText="1"/>
    </xf>
    <xf numFmtId="0" fontId="85" fillId="24" borderId="16" xfId="0" applyFont="1" applyFill="1" applyBorder="1" applyAlignment="1">
      <alignment horizontal="center" vertical="center" wrapText="1"/>
    </xf>
    <xf numFmtId="0" fontId="85" fillId="24" borderId="17" xfId="0" applyFont="1" applyFill="1" applyBorder="1" applyAlignment="1">
      <alignment horizontal="center" vertical="center" wrapText="1"/>
    </xf>
    <xf numFmtId="0" fontId="85" fillId="24" borderId="12" xfId="0" applyFont="1" applyFill="1" applyBorder="1" applyAlignment="1">
      <alignment horizontal="center" vertical="center" wrapText="1"/>
    </xf>
    <xf numFmtId="2" fontId="89" fillId="0" borderId="16" xfId="0" applyNumberFormat="1" applyFont="1" applyBorder="1" applyAlignment="1">
      <alignment horizontal="center" vertical="center" wrapText="1"/>
    </xf>
    <xf numFmtId="2" fontId="89" fillId="0" borderId="17" xfId="0" applyNumberFormat="1" applyFont="1" applyBorder="1" applyAlignment="1">
      <alignment horizontal="center" vertical="center" wrapText="1"/>
    </xf>
    <xf numFmtId="2" fontId="89" fillId="0" borderId="12" xfId="0" applyNumberFormat="1" applyFont="1" applyBorder="1" applyAlignment="1">
      <alignment horizontal="center" vertical="center" wrapText="1"/>
    </xf>
    <xf numFmtId="2" fontId="89" fillId="0" borderId="11" xfId="0" applyNumberFormat="1" applyFont="1" applyBorder="1" applyAlignment="1">
      <alignment horizontal="center" vertical="center"/>
    </xf>
    <xf numFmtId="2" fontId="89" fillId="0" borderId="21" xfId="0" applyNumberFormat="1" applyFont="1" applyBorder="1" applyAlignment="1">
      <alignment horizontal="center" vertical="center"/>
    </xf>
    <xf numFmtId="2" fontId="89" fillId="0" borderId="14" xfId="0" applyNumberFormat="1" applyFont="1" applyBorder="1" applyAlignment="1">
      <alignment horizontal="center" vertical="center"/>
    </xf>
    <xf numFmtId="2" fontId="89" fillId="24" borderId="16" xfId="0" applyNumberFormat="1" applyFont="1" applyFill="1" applyBorder="1" applyAlignment="1">
      <alignment horizontal="center" vertical="center" wrapText="1"/>
    </xf>
    <xf numFmtId="2" fontId="89" fillId="24" borderId="17" xfId="0" applyNumberFormat="1" applyFont="1" applyFill="1" applyBorder="1" applyAlignment="1">
      <alignment horizontal="center" vertical="center" wrapText="1"/>
    </xf>
    <xf numFmtId="2" fontId="89" fillId="24" borderId="12" xfId="0" applyNumberFormat="1" applyFont="1" applyFill="1" applyBorder="1" applyAlignment="1">
      <alignment horizontal="center" vertical="center" wrapText="1"/>
    </xf>
    <xf numFmtId="0" fontId="28" fillId="24" borderId="18" xfId="45" applyFont="1" applyFill="1" applyBorder="1" applyAlignment="1">
      <alignment horizontal="left" vertical="center"/>
    </xf>
    <xf numFmtId="0" fontId="28" fillId="24" borderId="33" xfId="45" applyFont="1" applyFill="1" applyBorder="1" applyAlignment="1">
      <alignment horizontal="left" vertical="center"/>
    </xf>
    <xf numFmtId="0" fontId="28" fillId="24" borderId="13" xfId="45" applyFont="1" applyFill="1" applyBorder="1" applyAlignment="1">
      <alignment horizontal="left" vertical="center"/>
    </xf>
    <xf numFmtId="0" fontId="28" fillId="24" borderId="22" xfId="45" applyFont="1" applyFill="1" applyBorder="1" applyAlignment="1">
      <alignment horizontal="left" vertical="center"/>
    </xf>
    <xf numFmtId="0" fontId="28" fillId="24" borderId="15" xfId="45" applyFont="1" applyFill="1" applyBorder="1" applyAlignment="1">
      <alignment horizontal="left" vertical="center"/>
    </xf>
    <xf numFmtId="0" fontId="28" fillId="24" borderId="32" xfId="45" applyFont="1" applyFill="1" applyBorder="1" applyAlignment="1">
      <alignment horizontal="left" vertical="center"/>
    </xf>
    <xf numFmtId="0" fontId="86" fillId="0" borderId="16" xfId="0" applyFont="1" applyBorder="1" applyAlignment="1">
      <alignment horizontal="left" vertical="center" wrapText="1"/>
    </xf>
    <xf numFmtId="0" fontId="86" fillId="0" borderId="17" xfId="0" applyFont="1" applyBorder="1" applyAlignment="1">
      <alignment horizontal="left" vertical="center" wrapText="1"/>
    </xf>
    <xf numFmtId="0" fontId="86" fillId="0" borderId="12" xfId="0" applyFont="1" applyBorder="1" applyAlignment="1">
      <alignment horizontal="left" vertical="center" wrapText="1"/>
    </xf>
    <xf numFmtId="49" fontId="85" fillId="24" borderId="10" xfId="0" applyNumberFormat="1" applyFont="1" applyFill="1" applyBorder="1" applyAlignment="1">
      <alignment horizontal="center" vertical="center" wrapText="1"/>
    </xf>
    <xf numFmtId="0" fontId="93" fillId="24" borderId="10" xfId="42" applyFont="1" applyFill="1" applyBorder="1" applyAlignment="1">
      <alignment horizontal="center" vertical="center"/>
    </xf>
    <xf numFmtId="0" fontId="80" fillId="0" borderId="0" xfId="0" applyFont="1" applyAlignment="1">
      <alignment horizontal="left" wrapText="1"/>
    </xf>
    <xf numFmtId="0" fontId="44" fillId="29" borderId="10" xfId="0" applyFont="1" applyFill="1" applyBorder="1" applyAlignment="1" applyProtection="1">
      <alignment horizontal="center" vertical="center"/>
      <protection locked="0"/>
    </xf>
    <xf numFmtId="0" fontId="0" fillId="29" borderId="10" xfId="0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84" fillId="0" borderId="0" xfId="0" applyFont="1" applyAlignment="1">
      <alignment horizontal="left"/>
    </xf>
    <xf numFmtId="0" fontId="66" fillId="24" borderId="10" xfId="0" applyFont="1" applyFill="1" applyBorder="1" applyAlignment="1">
      <alignment horizontal="center" vertical="center"/>
    </xf>
    <xf numFmtId="1" fontId="44" fillId="29" borderId="10" xfId="0" applyNumberFormat="1" applyFont="1" applyFill="1" applyBorder="1" applyAlignment="1" applyProtection="1">
      <alignment horizontal="center" vertical="center" wrapText="1"/>
      <protection locked="0"/>
    </xf>
    <xf numFmtId="0" fontId="44" fillId="29" borderId="10" xfId="0" applyFont="1" applyFill="1" applyBorder="1" applyAlignment="1" applyProtection="1">
      <alignment horizontal="center" vertical="center" wrapText="1"/>
      <protection locked="0"/>
    </xf>
    <xf numFmtId="0" fontId="0" fillId="29" borderId="10" xfId="0" applyFill="1" applyBorder="1" applyAlignment="1">
      <alignment horizontal="center" vertical="center" wrapText="1"/>
    </xf>
    <xf numFmtId="1" fontId="44" fillId="29" borderId="10" xfId="0" applyNumberFormat="1" applyFont="1" applyFill="1" applyBorder="1" applyAlignment="1" applyProtection="1">
      <alignment horizontal="center" vertical="center"/>
      <protection locked="0"/>
    </xf>
    <xf numFmtId="49" fontId="84" fillId="0" borderId="16" xfId="0" applyNumberFormat="1" applyFont="1" applyBorder="1" applyAlignment="1">
      <alignment horizontal="center" vertical="center" wrapText="1"/>
    </xf>
    <xf numFmtId="49" fontId="84" fillId="0" borderId="17" xfId="0" applyNumberFormat="1" applyFont="1" applyBorder="1" applyAlignment="1">
      <alignment horizontal="center" vertical="center" wrapText="1"/>
    </xf>
    <xf numFmtId="49" fontId="84" fillId="0" borderId="12" xfId="0" applyNumberFormat="1" applyFont="1" applyBorder="1" applyAlignment="1">
      <alignment horizontal="center" vertical="center" wrapText="1"/>
    </xf>
    <xf numFmtId="0" fontId="90" fillId="0" borderId="10" xfId="0" applyFont="1" applyBorder="1" applyAlignment="1">
      <alignment horizontal="left" vertical="center"/>
    </xf>
    <xf numFmtId="0" fontId="108" fillId="0" borderId="16" xfId="0" applyFont="1" applyBorder="1" applyAlignment="1">
      <alignment horizontal="left"/>
    </xf>
    <xf numFmtId="0" fontId="108" fillId="0" borderId="17" xfId="0" applyFont="1" applyBorder="1" applyAlignment="1">
      <alignment horizontal="left"/>
    </xf>
    <xf numFmtId="0" fontId="108" fillId="0" borderId="12" xfId="0" applyFont="1" applyBorder="1" applyAlignment="1">
      <alignment horizontal="left"/>
    </xf>
    <xf numFmtId="0" fontId="99" fillId="0" borderId="10" xfId="42" applyFont="1" applyBorder="1" applyAlignment="1">
      <alignment horizontal="left" vertical="center" wrapText="1"/>
    </xf>
    <xf numFmtId="0" fontId="92" fillId="0" borderId="15" xfId="0" applyFont="1" applyBorder="1" applyAlignment="1">
      <alignment horizontal="left"/>
    </xf>
    <xf numFmtId="0" fontId="100" fillId="24" borderId="10" xfId="42" applyFont="1" applyFill="1" applyBorder="1" applyAlignment="1">
      <alignment horizontal="center" vertical="center"/>
    </xf>
    <xf numFmtId="2" fontId="89" fillId="0" borderId="14" xfId="0" applyNumberFormat="1" applyFont="1" applyBorder="1" applyAlignment="1">
      <alignment horizontal="center" vertical="center" wrapText="1"/>
    </xf>
    <xf numFmtId="1" fontId="85" fillId="29" borderId="16" xfId="0" applyNumberFormat="1" applyFont="1" applyFill="1" applyBorder="1" applyAlignment="1">
      <alignment horizontal="center" vertical="center" wrapText="1"/>
    </xf>
    <xf numFmtId="1" fontId="85" fillId="29" borderId="17" xfId="0" applyNumberFormat="1" applyFont="1" applyFill="1" applyBorder="1" applyAlignment="1">
      <alignment horizontal="center" vertical="center" wrapText="1"/>
    </xf>
    <xf numFmtId="0" fontId="85" fillId="24" borderId="10" xfId="0" applyFont="1" applyFill="1" applyBorder="1" applyAlignment="1">
      <alignment horizontal="center" vertical="center"/>
    </xf>
    <xf numFmtId="0" fontId="85" fillId="27" borderId="14" xfId="0" applyFont="1" applyFill="1" applyBorder="1" applyAlignment="1">
      <alignment horizontal="center" vertical="center" wrapText="1"/>
    </xf>
    <xf numFmtId="49" fontId="84" fillId="0" borderId="10" xfId="0" applyNumberFormat="1" applyFont="1" applyBorder="1" applyAlignment="1">
      <alignment horizontal="center" vertical="center" wrapText="1"/>
    </xf>
    <xf numFmtId="2" fontId="85" fillId="27" borderId="16" xfId="0" applyNumberFormat="1" applyFont="1" applyFill="1" applyBorder="1" applyAlignment="1">
      <alignment horizontal="center" vertical="center" wrapText="1"/>
    </xf>
    <xf numFmtId="2" fontId="85" fillId="27" borderId="12" xfId="0" applyNumberFormat="1" applyFont="1" applyFill="1" applyBorder="1" applyAlignment="1">
      <alignment horizontal="center" vertical="center" wrapText="1"/>
    </xf>
    <xf numFmtId="174" fontId="85" fillId="29" borderId="16" xfId="0" applyNumberFormat="1" applyFont="1" applyFill="1" applyBorder="1" applyAlignment="1">
      <alignment horizontal="center" vertical="center" wrapText="1"/>
    </xf>
    <xf numFmtId="174" fontId="85" fillId="29" borderId="12" xfId="0" applyNumberFormat="1" applyFont="1" applyFill="1" applyBorder="1" applyAlignment="1">
      <alignment horizontal="center" vertical="center" wrapText="1"/>
    </xf>
    <xf numFmtId="0" fontId="85" fillId="27" borderId="21" xfId="0" applyFont="1" applyFill="1" applyBorder="1" applyAlignment="1">
      <alignment horizontal="center" vertical="center" wrapText="1"/>
    </xf>
    <xf numFmtId="49" fontId="85" fillId="24" borderId="14" xfId="0" applyNumberFormat="1" applyFont="1" applyFill="1" applyBorder="1" applyAlignment="1">
      <alignment horizontal="center" vertical="center" wrapText="1"/>
    </xf>
    <xf numFmtId="0" fontId="85" fillId="29" borderId="16" xfId="0" applyFont="1" applyFill="1" applyBorder="1" applyAlignment="1">
      <alignment horizontal="center" vertical="center" wrapText="1"/>
    </xf>
    <xf numFmtId="0" fontId="85" fillId="29" borderId="12" xfId="0" applyFont="1" applyFill="1" applyBorder="1" applyAlignment="1">
      <alignment horizontal="center" vertical="center" wrapText="1"/>
    </xf>
    <xf numFmtId="0" fontId="90" fillId="24" borderId="16" xfId="0" applyFont="1" applyFill="1" applyBorder="1" applyAlignment="1">
      <alignment horizontal="center" vertical="center" wrapText="1"/>
    </xf>
    <xf numFmtId="0" fontId="90" fillId="24" borderId="17" xfId="0" applyFont="1" applyFill="1" applyBorder="1" applyAlignment="1">
      <alignment horizontal="center" vertical="center" wrapText="1"/>
    </xf>
    <xf numFmtId="0" fontId="90" fillId="24" borderId="12" xfId="0" applyFont="1" applyFill="1" applyBorder="1" applyAlignment="1">
      <alignment horizontal="center" vertical="center" wrapText="1"/>
    </xf>
    <xf numFmtId="0" fontId="99" fillId="0" borderId="16" xfId="42" applyFont="1" applyBorder="1" applyAlignment="1">
      <alignment horizontal="left" vertical="center" wrapText="1"/>
    </xf>
    <xf numFmtId="0" fontId="99" fillId="0" borderId="17" xfId="42" applyFont="1" applyBorder="1" applyAlignment="1">
      <alignment horizontal="left" vertical="center" wrapText="1"/>
    </xf>
    <xf numFmtId="0" fontId="99" fillId="0" borderId="12" xfId="42" applyFont="1" applyBorder="1" applyAlignment="1">
      <alignment horizontal="left" vertical="center" wrapText="1"/>
    </xf>
    <xf numFmtId="0" fontId="100" fillId="0" borderId="16" xfId="42" applyFont="1" applyBorder="1" applyAlignment="1">
      <alignment horizontal="left" vertical="center" wrapText="1"/>
    </xf>
    <xf numFmtId="0" fontId="100" fillId="0" borderId="17" xfId="42" applyFont="1" applyBorder="1" applyAlignment="1">
      <alignment horizontal="left" vertical="center" wrapText="1"/>
    </xf>
    <xf numFmtId="0" fontId="100" fillId="0" borderId="12" xfId="42" applyFont="1" applyBorder="1" applyAlignment="1">
      <alignment horizontal="left" vertical="center" wrapText="1"/>
    </xf>
    <xf numFmtId="0" fontId="90" fillId="24" borderId="10" xfId="0" applyFont="1" applyFill="1" applyBorder="1" applyAlignment="1">
      <alignment horizontal="center" vertical="center" wrapText="1"/>
    </xf>
    <xf numFmtId="0" fontId="90" fillId="24" borderId="10" xfId="0" applyFont="1" applyFill="1" applyBorder="1" applyAlignment="1">
      <alignment horizontal="left" vertical="center" wrapText="1"/>
    </xf>
    <xf numFmtId="0" fontId="85" fillId="31" borderId="10" xfId="0" applyFont="1" applyFill="1" applyBorder="1" applyAlignment="1">
      <alignment horizontal="center"/>
    </xf>
    <xf numFmtId="0" fontId="122" fillId="0" borderId="10" xfId="0" applyFont="1" applyBorder="1" applyAlignment="1">
      <alignment horizontal="center" wrapText="1"/>
    </xf>
    <xf numFmtId="0" fontId="81" fillId="0" borderId="0" xfId="34" applyAlignment="1">
      <alignment horizontal="left"/>
    </xf>
    <xf numFmtId="0" fontId="121" fillId="0" borderId="33" xfId="0" applyFont="1" applyBorder="1" applyAlignment="1">
      <alignment horizontal="left"/>
    </xf>
    <xf numFmtId="0" fontId="121" fillId="0" borderId="13" xfId="0" applyFont="1" applyBorder="1" applyAlignment="1">
      <alignment horizontal="left"/>
    </xf>
  </cellXfs>
  <cellStyles count="5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üperlink" xfId="34" builtinId="8"/>
    <cellStyle name="Hüperlink 2" xfId="35" xr:uid="{00000000-0005-0000-0000-000022000000}"/>
    <cellStyle name="Input" xfId="36" xr:uid="{00000000-0005-0000-0000-000023000000}"/>
    <cellStyle name="Koma" xfId="37" builtinId="3"/>
    <cellStyle name="Koma 2" xfId="38" xr:uid="{00000000-0005-0000-0000-000025000000}"/>
    <cellStyle name="Laad 1" xfId="39" xr:uid="{00000000-0005-0000-0000-000026000000}"/>
    <cellStyle name="Linked Cell" xfId="40" xr:uid="{00000000-0005-0000-0000-000027000000}"/>
    <cellStyle name="Neutral" xfId="41" xr:uid="{00000000-0005-0000-0000-000028000000}"/>
    <cellStyle name="Normaallaad" xfId="0" builtinId="0"/>
    <cellStyle name="Normaallaad 2" xfId="42" xr:uid="{00000000-0005-0000-0000-00002A000000}"/>
    <cellStyle name="Normaallaad 3" xfId="43" xr:uid="{00000000-0005-0000-0000-00002B000000}"/>
    <cellStyle name="Normaallaad 4" xfId="44" xr:uid="{00000000-0005-0000-0000-00002C000000}"/>
    <cellStyle name="Normal_objekti saldod 24012011" xfId="45" xr:uid="{00000000-0005-0000-0000-00002E000000}"/>
    <cellStyle name="Normal_R016VDAT" xfId="46" xr:uid="{00000000-0005-0000-0000-00002F000000}"/>
    <cellStyle name="Normal_väikesed  elektriettevõtted WWW-st" xfId="47" xr:uid="{00000000-0005-0000-0000-000030000000}"/>
    <cellStyle name="Note" xfId="48" xr:uid="{00000000-0005-0000-0000-000031000000}"/>
    <cellStyle name="Output" xfId="49" xr:uid="{00000000-0005-0000-0000-000032000000}"/>
    <cellStyle name="Protsent 2" xfId="50" xr:uid="{00000000-0005-0000-0000-000033000000}"/>
    <cellStyle name="Title" xfId="51" xr:uid="{00000000-0005-0000-0000-000034000000}"/>
    <cellStyle name="Total" xfId="52" xr:uid="{00000000-0005-0000-0000-000035000000}"/>
    <cellStyle name="Valuuta 2" xfId="53" xr:uid="{00000000-0005-0000-0000-000036000000}"/>
    <cellStyle name="Warning Text" xfId="54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elmetee\Kaust%201\Termest\Kaugkyte\Saue\2010\Hinnataotluse_vorm%20Saue%20DH%202009%20KA%20TE1702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elmetee\Kaust%201\Termest\Kaugkyte\Hind\kulude%20jaotus\objekti%20saldod%202401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Piirhind"/>
      <sheetName val="andmete muutmine"/>
      <sheetName val="varad"/>
      <sheetName val="püsikulud"/>
      <sheetName val="elekter"/>
      <sheetName val="Saastetasud"/>
      <sheetName val="korrektsioon"/>
      <sheetName val="Tabel A. Üldiseloomustus"/>
      <sheetName val="Tabel B. Kasumiaruanne"/>
      <sheetName val="Tabel C. Investeeringud"/>
      <sheetName val="Tabel D. Põhivara"/>
      <sheetName val="Tabel E. Bilanss"/>
      <sheetName val="Taotlus soojuse hinn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Bilanss"/>
      <sheetName val="Kasumiaruanne"/>
      <sheetName val="objektid"/>
      <sheetName val="saldod"/>
      <sheetName val="hansa objektid saldod 2010"/>
      <sheetName val="Pohivarad"/>
      <sheetName val="Macro1"/>
      <sheetName val="pohivarade nimekiri"/>
      <sheetName val="Amort aruanne"/>
      <sheetName val="hansa objektid saldod 2008"/>
      <sheetName val="pohivarade nimekiri 11032011"/>
      <sheetName val="pohivarade nimekiri 23122010"/>
      <sheetName val="pohivarade ajalugu 11032011"/>
      <sheetName val="pohivarade ajalugu 23122010"/>
      <sheetName val="kontopla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onkurentsiamet.ee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konkurentsiamet.ee/" TargetMode="External"/><Relationship Id="rId1" Type="http://schemas.openxmlformats.org/officeDocument/2006/relationships/hyperlink" Target="http://www.konkurentsiamet.ee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workbookViewId="0">
      <selection activeCell="N10" sqref="N10"/>
    </sheetView>
  </sheetViews>
  <sheetFormatPr defaultRowHeight="15.75" x14ac:dyDescent="0.25"/>
  <cols>
    <col min="1" max="1" width="41.125" customWidth="1"/>
    <col min="2" max="2" width="20.625" customWidth="1"/>
    <col min="3" max="3" width="24.125" customWidth="1"/>
    <col min="6" max="6" width="9" customWidth="1"/>
    <col min="7" max="7" width="10.125" customWidth="1"/>
  </cols>
  <sheetData>
    <row r="2" spans="1:7" x14ac:dyDescent="0.25">
      <c r="A2" s="243" t="s">
        <v>549</v>
      </c>
    </row>
    <row r="3" spans="1:7" x14ac:dyDescent="0.25">
      <c r="A3" s="583"/>
      <c r="B3" s="583"/>
      <c r="C3" s="583"/>
      <c r="G3" s="422"/>
    </row>
    <row r="4" spans="1:7" s="6" customFormat="1" ht="12.75" x14ac:dyDescent="0.2">
      <c r="A4" s="597" t="s">
        <v>436</v>
      </c>
      <c r="B4" s="597"/>
      <c r="C4" s="597"/>
      <c r="G4" s="418"/>
    </row>
    <row r="5" spans="1:7" s="6" customFormat="1" ht="12.75" x14ac:dyDescent="0.2">
      <c r="A5" s="584" t="s">
        <v>827</v>
      </c>
      <c r="B5" s="585"/>
      <c r="C5" s="586"/>
      <c r="G5" s="418"/>
    </row>
    <row r="6" spans="1:7" s="6" customFormat="1" ht="12.75" x14ac:dyDescent="0.2">
      <c r="A6" s="86" t="s">
        <v>249</v>
      </c>
      <c r="B6" s="571">
        <v>10290080</v>
      </c>
      <c r="C6" s="571"/>
      <c r="G6" s="418"/>
    </row>
    <row r="7" spans="1:7" s="6" customFormat="1" ht="12.75" x14ac:dyDescent="0.2">
      <c r="A7" s="599" t="s">
        <v>250</v>
      </c>
      <c r="B7" s="600"/>
      <c r="C7" s="601"/>
      <c r="G7" s="418"/>
    </row>
    <row r="8" spans="1:7" s="6" customFormat="1" ht="12.75" x14ac:dyDescent="0.2">
      <c r="A8" s="587" t="s">
        <v>828</v>
      </c>
      <c r="B8" s="588"/>
      <c r="C8" s="589"/>
      <c r="G8" s="418"/>
    </row>
    <row r="9" spans="1:7" s="6" customFormat="1" ht="12.75" x14ac:dyDescent="0.2">
      <c r="A9" s="86" t="s">
        <v>251</v>
      </c>
      <c r="B9" s="572">
        <v>56474475</v>
      </c>
      <c r="C9" s="572"/>
      <c r="G9" s="418"/>
    </row>
    <row r="10" spans="1:7" s="6" customFormat="1" ht="51.95" customHeight="1" x14ac:dyDescent="0.2">
      <c r="A10" s="241" t="s">
        <v>606</v>
      </c>
      <c r="B10" s="595" t="s">
        <v>694</v>
      </c>
      <c r="C10" s="596"/>
      <c r="G10" s="418"/>
    </row>
    <row r="11" spans="1:7" s="6" customFormat="1" ht="12.75" customHeight="1" x14ac:dyDescent="0.2">
      <c r="A11" s="86" t="s">
        <v>600</v>
      </c>
      <c r="B11" s="598" t="s">
        <v>829</v>
      </c>
      <c r="C11" s="598"/>
      <c r="G11" s="123"/>
    </row>
    <row r="12" spans="1:7" s="6" customFormat="1" ht="12.75" customHeight="1" x14ac:dyDescent="0.2">
      <c r="A12" s="88" t="s">
        <v>695</v>
      </c>
      <c r="B12" s="570" t="s">
        <v>830</v>
      </c>
      <c r="C12" s="570"/>
    </row>
    <row r="13" spans="1:7" s="6" customFormat="1" ht="12.75" customHeight="1" x14ac:dyDescent="0.2">
      <c r="A13" s="88" t="s">
        <v>551</v>
      </c>
      <c r="B13" s="590" t="s">
        <v>831</v>
      </c>
      <c r="C13" s="591"/>
    </row>
    <row r="14" spans="1:7" s="6" customFormat="1" ht="12.75" customHeight="1" x14ac:dyDescent="0.2">
      <c r="A14" s="202" t="s">
        <v>552</v>
      </c>
      <c r="B14" s="570" t="s">
        <v>832</v>
      </c>
      <c r="C14" s="570"/>
    </row>
    <row r="15" spans="1:7" s="6" customFormat="1" ht="12.75" customHeight="1" x14ac:dyDescent="0.2">
      <c r="A15" s="198" t="s">
        <v>520</v>
      </c>
      <c r="B15" s="590" t="s">
        <v>831</v>
      </c>
      <c r="C15" s="591"/>
      <c r="D15" s="85"/>
      <c r="E15" s="85"/>
    </row>
    <row r="16" spans="1:7" s="6" customFormat="1" ht="12.75" customHeight="1" x14ac:dyDescent="0.2">
      <c r="A16" s="88" t="s">
        <v>252</v>
      </c>
      <c r="B16" s="573" t="s">
        <v>833</v>
      </c>
      <c r="C16" s="574"/>
      <c r="D16" s="85"/>
      <c r="E16" s="85"/>
      <c r="F16" s="85"/>
    </row>
    <row r="17" spans="1:7" s="6" customFormat="1" ht="12.75" customHeight="1" x14ac:dyDescent="0.2">
      <c r="A17" s="201"/>
      <c r="B17" s="82"/>
      <c r="C17" s="203"/>
      <c r="D17" s="85"/>
      <c r="E17" s="85"/>
      <c r="F17" s="85"/>
    </row>
    <row r="18" spans="1:7" s="6" customFormat="1" ht="12.75" customHeight="1" x14ac:dyDescent="0.2">
      <c r="A18" s="592" t="s">
        <v>380</v>
      </c>
      <c r="B18" s="593"/>
      <c r="C18" s="594"/>
      <c r="D18" s="66"/>
      <c r="E18" s="66"/>
      <c r="F18" s="85"/>
      <c r="G18" s="85"/>
    </row>
    <row r="19" spans="1:7" s="6" customFormat="1" ht="12.75" customHeight="1" x14ac:dyDescent="0.2">
      <c r="A19" s="575" t="s">
        <v>834</v>
      </c>
      <c r="B19" s="576"/>
      <c r="C19" s="577"/>
      <c r="F19" s="66"/>
      <c r="G19" s="85"/>
    </row>
    <row r="20" spans="1:7" s="66" customFormat="1" ht="12.75" customHeight="1" x14ac:dyDescent="0.2">
      <c r="A20" s="580" t="s">
        <v>253</v>
      </c>
      <c r="B20" s="581"/>
      <c r="C20" s="582"/>
      <c r="F20" s="6"/>
      <c r="G20" s="85"/>
    </row>
    <row r="21" spans="1:7" s="6" customFormat="1" ht="12.75" customHeight="1" x14ac:dyDescent="0.2">
      <c r="A21" s="575" t="s">
        <v>835</v>
      </c>
      <c r="B21" s="576"/>
      <c r="C21" s="577"/>
      <c r="F21" s="66"/>
      <c r="G21" s="66"/>
    </row>
    <row r="22" spans="1:7" s="66" customFormat="1" ht="12.75" customHeight="1" x14ac:dyDescent="0.2">
      <c r="A22" s="580" t="s">
        <v>285</v>
      </c>
      <c r="B22" s="581"/>
      <c r="C22" s="582"/>
      <c r="D22" s="82"/>
      <c r="E22" s="82"/>
      <c r="F22" s="6"/>
      <c r="G22" s="6"/>
    </row>
    <row r="23" spans="1:7" s="6" customFormat="1" ht="51.95" customHeight="1" x14ac:dyDescent="0.2">
      <c r="A23" s="575" t="s">
        <v>836</v>
      </c>
      <c r="B23" s="576"/>
      <c r="C23" s="577"/>
      <c r="D23" s="82"/>
      <c r="E23" s="82"/>
      <c r="F23" s="82"/>
      <c r="G23" s="66"/>
    </row>
    <row r="24" spans="1:7" s="6" customFormat="1" x14ac:dyDescent="0.25">
      <c r="A24"/>
      <c r="B24"/>
      <c r="C24"/>
      <c r="D24" s="66"/>
      <c r="E24" s="66"/>
      <c r="F24" s="82"/>
    </row>
    <row r="25" spans="1:7" s="6" customFormat="1" ht="15.75" customHeight="1" x14ac:dyDescent="0.25">
      <c r="A25" s="217" t="s">
        <v>553</v>
      </c>
      <c r="B25" s="204"/>
      <c r="C25" s="204"/>
      <c r="F25" s="66"/>
      <c r="G25" s="82"/>
    </row>
    <row r="26" spans="1:7" s="66" customFormat="1" ht="32.25" customHeight="1" x14ac:dyDescent="0.2">
      <c r="A26" s="579" t="s">
        <v>607</v>
      </c>
      <c r="B26" s="579"/>
      <c r="C26" s="579"/>
      <c r="D26" s="6"/>
      <c r="E26" s="6"/>
      <c r="F26" s="6"/>
      <c r="G26" s="82"/>
    </row>
    <row r="27" spans="1:7" s="6" customFormat="1" ht="19.5" customHeight="1" x14ac:dyDescent="0.25">
      <c r="A27" s="221" t="s">
        <v>608</v>
      </c>
      <c r="B27" s="204"/>
      <c r="C27" s="204"/>
      <c r="D27" s="66"/>
      <c r="E27" s="66"/>
      <c r="G27" s="66"/>
    </row>
    <row r="28" spans="1:7" s="6" customFormat="1" ht="15.75" customHeight="1" x14ac:dyDescent="0.25">
      <c r="A28" s="221" t="s">
        <v>693</v>
      </c>
      <c r="B28" s="204"/>
      <c r="C28" s="204"/>
      <c r="D28"/>
      <c r="E28"/>
      <c r="F28" s="66"/>
    </row>
    <row r="29" spans="1:7" s="6" customFormat="1" ht="20.25" customHeight="1" x14ac:dyDescent="0.25">
      <c r="A29" s="221" t="s">
        <v>673</v>
      </c>
      <c r="B29" s="204"/>
      <c r="C29" s="204"/>
      <c r="D29"/>
      <c r="E29"/>
      <c r="F29"/>
    </row>
    <row r="30" spans="1:7" s="6" customFormat="1" ht="32.1" customHeight="1" x14ac:dyDescent="0.25">
      <c r="A30" s="578" t="s">
        <v>676</v>
      </c>
      <c r="B30" s="578"/>
      <c r="C30" s="578"/>
      <c r="D30"/>
      <c r="E30"/>
      <c r="F30"/>
    </row>
    <row r="31" spans="1:7" ht="57.95" customHeight="1" x14ac:dyDescent="0.25">
      <c r="A31" s="569" t="s">
        <v>674</v>
      </c>
      <c r="B31" s="569"/>
      <c r="C31" s="569"/>
      <c r="D31" s="204"/>
      <c r="E31" s="204"/>
      <c r="G31" s="66"/>
    </row>
    <row r="32" spans="1:7" x14ac:dyDescent="0.25">
      <c r="D32" s="204"/>
      <c r="E32" s="204"/>
      <c r="F32" s="204"/>
    </row>
    <row r="33" spans="1:11" ht="20.25" customHeight="1" x14ac:dyDescent="0.25">
      <c r="D33" s="204"/>
      <c r="E33" s="204"/>
      <c r="F33" s="204"/>
    </row>
    <row r="34" spans="1:11" x14ac:dyDescent="0.25">
      <c r="A34" s="299" t="s">
        <v>610</v>
      </c>
      <c r="B34" s="300"/>
      <c r="D34" s="300"/>
      <c r="E34" s="300"/>
      <c r="F34" s="300"/>
      <c r="G34" s="300"/>
      <c r="H34" s="300"/>
      <c r="I34" s="300"/>
      <c r="J34" s="300"/>
      <c r="K34" s="300"/>
    </row>
    <row r="35" spans="1:11" x14ac:dyDescent="0.25">
      <c r="A35" s="116" t="s">
        <v>629</v>
      </c>
      <c r="B35" s="300"/>
      <c r="C35" s="301"/>
      <c r="D35" s="300"/>
      <c r="E35" s="300"/>
      <c r="F35" s="300"/>
      <c r="G35" s="300"/>
      <c r="H35" s="300"/>
      <c r="I35" s="300"/>
      <c r="J35" s="300"/>
      <c r="K35" s="300"/>
    </row>
    <row r="36" spans="1:11" ht="16.5" customHeight="1" x14ac:dyDescent="0.25">
      <c r="A36" s="300" t="s">
        <v>670</v>
      </c>
      <c r="B36" s="300"/>
      <c r="C36" s="300"/>
      <c r="D36" s="300"/>
      <c r="E36" s="300"/>
      <c r="F36" s="300"/>
      <c r="G36" s="300"/>
      <c r="H36" s="300"/>
      <c r="I36" s="300"/>
    </row>
    <row r="37" spans="1:11" x14ac:dyDescent="0.25">
      <c r="A37" s="300" t="s">
        <v>611</v>
      </c>
      <c r="B37" s="300"/>
      <c r="C37" s="300"/>
      <c r="D37" s="300"/>
      <c r="E37" s="300"/>
      <c r="F37" s="300"/>
      <c r="G37" s="300"/>
      <c r="H37" s="300"/>
      <c r="I37" s="300"/>
    </row>
    <row r="38" spans="1:11" x14ac:dyDescent="0.25">
      <c r="A38" s="300" t="s">
        <v>669</v>
      </c>
      <c r="B38" s="300"/>
      <c r="C38" s="300"/>
      <c r="D38" s="300"/>
      <c r="E38" s="300"/>
      <c r="F38" s="300"/>
      <c r="G38" s="300"/>
      <c r="H38" s="300"/>
      <c r="I38" s="300"/>
    </row>
    <row r="39" spans="1:11" x14ac:dyDescent="0.25">
      <c r="A39" s="300" t="s">
        <v>612</v>
      </c>
    </row>
  </sheetData>
  <mergeCells count="23">
    <mergeCell ref="A3:C3"/>
    <mergeCell ref="A5:C5"/>
    <mergeCell ref="A8:C8"/>
    <mergeCell ref="A21:C21"/>
    <mergeCell ref="A20:C20"/>
    <mergeCell ref="B15:C15"/>
    <mergeCell ref="A18:C18"/>
    <mergeCell ref="B13:C13"/>
    <mergeCell ref="B10:C10"/>
    <mergeCell ref="A19:C19"/>
    <mergeCell ref="A4:C4"/>
    <mergeCell ref="B11:C11"/>
    <mergeCell ref="A7:C7"/>
    <mergeCell ref="B12:C12"/>
    <mergeCell ref="A31:C31"/>
    <mergeCell ref="B14:C14"/>
    <mergeCell ref="B6:C6"/>
    <mergeCell ref="B9:C9"/>
    <mergeCell ref="B16:C16"/>
    <mergeCell ref="A23:C23"/>
    <mergeCell ref="A30:C30"/>
    <mergeCell ref="A26:C26"/>
    <mergeCell ref="A22:C22"/>
  </mergeCells>
  <dataValidations count="1">
    <dataValidation type="list" allowBlank="1" showInputMessage="1" showErrorMessage="1" sqref="B15:C15 B13:C13" xr:uid="{00000000-0002-0000-0000-000000000000}">
      <formula1>"vali loendist, Jah, Ei"</formula1>
    </dataValidation>
  </dataValidations>
  <hyperlinks>
    <hyperlink ref="A35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eht20">
    <pageSetUpPr fitToPage="1"/>
  </sheetPr>
  <dimension ref="A2:I45"/>
  <sheetViews>
    <sheetView workbookViewId="0">
      <selection activeCell="R22" sqref="R22"/>
    </sheetView>
  </sheetViews>
  <sheetFormatPr defaultColWidth="9" defaultRowHeight="12.75" x14ac:dyDescent="0.2"/>
  <cols>
    <col min="1" max="1" width="4.75" style="6" customWidth="1"/>
    <col min="2" max="2" width="53.75" style="6" customWidth="1"/>
    <col min="3" max="3" width="12.625" style="6" customWidth="1"/>
    <col min="4" max="4" width="12.75" style="6" customWidth="1"/>
    <col min="5" max="9" width="9.625" style="6" customWidth="1"/>
    <col min="10" max="16384" width="9" style="6"/>
  </cols>
  <sheetData>
    <row r="2" spans="1:5" x14ac:dyDescent="0.2">
      <c r="A2" s="149" t="s">
        <v>10</v>
      </c>
    </row>
    <row r="4" spans="1:5" ht="24" customHeight="1" x14ac:dyDescent="0.2">
      <c r="A4" s="827" t="s">
        <v>40</v>
      </c>
      <c r="B4" s="828" t="s">
        <v>22</v>
      </c>
      <c r="C4" s="11" t="s">
        <v>329</v>
      </c>
      <c r="D4" s="11" t="s">
        <v>348</v>
      </c>
      <c r="E4" s="123"/>
    </row>
    <row r="5" spans="1:5" ht="14.1" customHeight="1" x14ac:dyDescent="0.2">
      <c r="A5" s="827"/>
      <c r="B5" s="828"/>
      <c r="C5" s="132" t="str">
        <f>'B. Algandmed'!G6</f>
        <v>2026</v>
      </c>
      <c r="D5" s="132" t="str">
        <f>'B. Algandmed'!H6</f>
        <v>2027</v>
      </c>
      <c r="E5" s="123"/>
    </row>
    <row r="6" spans="1:5" x14ac:dyDescent="0.2">
      <c r="A6" s="150" t="s">
        <v>222</v>
      </c>
      <c r="B6" s="13" t="s">
        <v>32</v>
      </c>
      <c r="C6" s="19">
        <f>'E. Muutuvkulud'!G75</f>
        <v>119.3299732</v>
      </c>
      <c r="D6" s="19">
        <f>'E. Muutuvkulud'!H75</f>
        <v>117.1188451</v>
      </c>
    </row>
    <row r="7" spans="1:5" x14ac:dyDescent="0.2">
      <c r="A7" s="150" t="s">
        <v>91</v>
      </c>
      <c r="B7" s="13" t="s">
        <v>33</v>
      </c>
      <c r="C7" s="19">
        <f>'F. Tegevuskulud'!G59</f>
        <v>33.715000000000003</v>
      </c>
      <c r="D7" s="19">
        <f>'F. Tegevuskulud'!H59</f>
        <v>34.715000000000003</v>
      </c>
    </row>
    <row r="8" spans="1:5" x14ac:dyDescent="0.2">
      <c r="A8" s="150" t="s">
        <v>97</v>
      </c>
      <c r="B8" s="13" t="s">
        <v>512</v>
      </c>
      <c r="C8" s="19">
        <f>'I. Renditud põhivarad'!F130</f>
        <v>0</v>
      </c>
      <c r="D8" s="19">
        <f>'I. Renditud põhivarad'!I130</f>
        <v>0</v>
      </c>
    </row>
    <row r="9" spans="1:5" x14ac:dyDescent="0.2">
      <c r="A9" s="150" t="s">
        <v>115</v>
      </c>
      <c r="B9" s="13" t="s">
        <v>34</v>
      </c>
      <c r="C9" s="19">
        <f>'G. Põhivarad ja kapitalikulu'!F121</f>
        <v>69.488541341607359</v>
      </c>
      <c r="D9" s="19">
        <f>'G. Põhivarad ja kapitalikulu'!I121</f>
        <v>69.488541341607359</v>
      </c>
    </row>
    <row r="10" spans="1:5" x14ac:dyDescent="0.2">
      <c r="A10" s="150" t="s">
        <v>125</v>
      </c>
      <c r="B10" s="13" t="s">
        <v>246</v>
      </c>
      <c r="C10" s="21">
        <v>104.61441221773303</v>
      </c>
      <c r="D10" s="21">
        <v>100.14165053016011</v>
      </c>
    </row>
    <row r="11" spans="1:5" x14ac:dyDescent="0.2">
      <c r="A11" s="150" t="s">
        <v>164</v>
      </c>
      <c r="B11" s="13" t="s">
        <v>35</v>
      </c>
      <c r="C11" s="19">
        <f>SUM(C6:C10)</f>
        <v>327.14792675934041</v>
      </c>
      <c r="D11" s="19">
        <f>SUM(D6:D10)</f>
        <v>321.46403697176748</v>
      </c>
    </row>
    <row r="12" spans="1:5" x14ac:dyDescent="0.2">
      <c r="A12" s="150"/>
      <c r="B12" s="13"/>
      <c r="C12" s="19"/>
      <c r="D12" s="13"/>
    </row>
    <row r="13" spans="1:5" x14ac:dyDescent="0.2">
      <c r="A13" s="150" t="s">
        <v>217</v>
      </c>
      <c r="B13" s="13" t="s">
        <v>725</v>
      </c>
      <c r="C13" s="19">
        <f>'G. Põhivarad ja kapitalikulu'!G123</f>
        <v>1410.0293961994655</v>
      </c>
      <c r="D13" s="19">
        <f>'G. Põhivarad ja kapitalikulu'!J123</f>
        <v>1351.1656449606216</v>
      </c>
    </row>
    <row r="14" spans="1:5" x14ac:dyDescent="0.2">
      <c r="A14" s="150" t="s">
        <v>218</v>
      </c>
      <c r="B14" s="13" t="s">
        <v>726</v>
      </c>
      <c r="C14" s="19">
        <f>'G. Põhivarad ja kapitalikulu'!H123</f>
        <v>199.41725467703003</v>
      </c>
      <c r="D14" s="19">
        <f>'G. Põhivarad ja kapitalikulu'!K123</f>
        <v>188.79246457426669</v>
      </c>
    </row>
    <row r="15" spans="1:5" x14ac:dyDescent="0.2">
      <c r="A15" s="150" t="s">
        <v>242</v>
      </c>
      <c r="B15" s="13" t="s">
        <v>36</v>
      </c>
      <c r="C15" s="19">
        <f>C11*0.05</f>
        <v>16.357396337967021</v>
      </c>
      <c r="D15" s="19">
        <f>D11*0.05</f>
        <v>16.073201848588376</v>
      </c>
    </row>
    <row r="16" spans="1:5" x14ac:dyDescent="0.2">
      <c r="A16" s="150" t="s">
        <v>243</v>
      </c>
      <c r="B16" s="13" t="s">
        <v>389</v>
      </c>
      <c r="C16" s="19">
        <f>C13+C14+C15</f>
        <v>1625.8040472144626</v>
      </c>
      <c r="D16" s="19">
        <f>D13+D14+D15</f>
        <v>1556.0313113834766</v>
      </c>
    </row>
    <row r="17" spans="1:9" x14ac:dyDescent="0.2">
      <c r="A17" s="150" t="s">
        <v>244</v>
      </c>
      <c r="B17" s="13" t="s">
        <v>728</v>
      </c>
      <c r="C17" s="411">
        <v>6.57</v>
      </c>
      <c r="D17" s="417">
        <f>C17</f>
        <v>6.57</v>
      </c>
    </row>
    <row r="18" spans="1:9" ht="15.75" customHeight="1" x14ac:dyDescent="0.2">
      <c r="A18" s="150" t="s">
        <v>513</v>
      </c>
      <c r="B18" s="13" t="s">
        <v>727</v>
      </c>
      <c r="C18" s="411">
        <v>5.55</v>
      </c>
      <c r="D18" s="466">
        <f>C18</f>
        <v>5.55</v>
      </c>
      <c r="E18" s="829" t="s">
        <v>245</v>
      </c>
      <c r="F18" s="829"/>
      <c r="G18" s="829"/>
      <c r="H18" s="136" t="str">
        <f>C5</f>
        <v>2026</v>
      </c>
      <c r="I18" s="136" t="str">
        <f>D5</f>
        <v>2027</v>
      </c>
    </row>
    <row r="19" spans="1:9" x14ac:dyDescent="0.2">
      <c r="A19" s="150" t="s">
        <v>729</v>
      </c>
      <c r="B19" s="31" t="s">
        <v>38</v>
      </c>
      <c r="C19" s="156">
        <f>C13*C17%+C14*C18%+IF('B. Algandmed'!$G$149&lt;1,C15*C17%,C15*C18%)</f>
        <v>104.61442446163724</v>
      </c>
      <c r="D19" s="156">
        <f>D13*D17%+D14*D18%+IF('B. Algandmed'!$H$149&lt;1,D15*D17%,D15*D18%)</f>
        <v>100.14162736038131</v>
      </c>
      <c r="E19" s="829"/>
      <c r="F19" s="829"/>
      <c r="G19" s="829"/>
      <c r="H19" s="152">
        <f>C10-C19</f>
        <v>-1.2243904208730783E-5</v>
      </c>
      <c r="I19" s="152">
        <f>D10-D19</f>
        <v>2.316977879956994E-5</v>
      </c>
    </row>
    <row r="20" spans="1:9" ht="12.75" customHeight="1" x14ac:dyDescent="0.2">
      <c r="A20" s="832" t="s">
        <v>39</v>
      </c>
      <c r="B20" s="832"/>
      <c r="C20" s="832"/>
      <c r="D20" s="832"/>
      <c r="E20" s="830" t="s">
        <v>736</v>
      </c>
      <c r="F20" s="830"/>
      <c r="G20" s="830"/>
      <c r="H20" s="830"/>
      <c r="I20" s="830"/>
    </row>
    <row r="21" spans="1:9" ht="12.75" customHeight="1" x14ac:dyDescent="0.2">
      <c r="A21" s="661" t="s">
        <v>800</v>
      </c>
      <c r="B21" s="661"/>
      <c r="C21" s="661"/>
      <c r="D21" s="662"/>
      <c r="E21" s="830"/>
      <c r="F21" s="830"/>
      <c r="G21" s="830"/>
      <c r="H21" s="830"/>
      <c r="I21" s="830"/>
    </row>
    <row r="22" spans="1:9" ht="15.75" x14ac:dyDescent="0.25">
      <c r="A22" s="831" t="s">
        <v>663</v>
      </c>
      <c r="B22" s="831"/>
      <c r="C22" s="831"/>
      <c r="D22" s="831"/>
      <c r="E22" s="830"/>
      <c r="F22" s="830"/>
      <c r="G22" s="830"/>
      <c r="H22" s="830"/>
      <c r="I22" s="830"/>
    </row>
    <row r="25" spans="1:9" x14ac:dyDescent="0.2">
      <c r="A25" s="415" t="s">
        <v>661</v>
      </c>
    </row>
    <row r="27" spans="1:9" ht="24" customHeight="1" x14ac:dyDescent="0.2">
      <c r="A27" s="827" t="s">
        <v>40</v>
      </c>
      <c r="B27" s="828" t="s">
        <v>22</v>
      </c>
      <c r="C27" s="11" t="s">
        <v>329</v>
      </c>
      <c r="D27" s="11" t="s">
        <v>348</v>
      </c>
      <c r="E27" s="123"/>
    </row>
    <row r="28" spans="1:9" ht="14.1" customHeight="1" x14ac:dyDescent="0.2">
      <c r="A28" s="827"/>
      <c r="B28" s="828"/>
      <c r="C28" s="132" t="str">
        <f>'B. Algandmed'!G6</f>
        <v>2026</v>
      </c>
      <c r="D28" s="132" t="str">
        <f>'B. Algandmed'!H6</f>
        <v>2027</v>
      </c>
      <c r="E28" s="123"/>
    </row>
    <row r="29" spans="1:9" x14ac:dyDescent="0.2">
      <c r="A29" s="150" t="s">
        <v>222</v>
      </c>
      <c r="B29" s="13" t="s">
        <v>32</v>
      </c>
      <c r="C29" s="52">
        <f>'E. Muutuvkulud'!G75</f>
        <v>119.3299732</v>
      </c>
      <c r="D29" s="52">
        <f>'E. Muutuvkulud'!H75</f>
        <v>117.1188451</v>
      </c>
    </row>
    <row r="30" spans="1:9" x14ac:dyDescent="0.2">
      <c r="A30" s="150" t="s">
        <v>91</v>
      </c>
      <c r="B30" s="13" t="s">
        <v>33</v>
      </c>
      <c r="C30" s="52">
        <f>'F. Tegevuskulud'!G59</f>
        <v>33.715000000000003</v>
      </c>
      <c r="D30" s="52">
        <f>'F. Tegevuskulud'!H59</f>
        <v>34.715000000000003</v>
      </c>
    </row>
    <row r="31" spans="1:9" x14ac:dyDescent="0.2">
      <c r="A31" s="150" t="s">
        <v>97</v>
      </c>
      <c r="B31" s="13" t="s">
        <v>512</v>
      </c>
      <c r="C31" s="52">
        <f>'I. Renditud põhivarad'!F130</f>
        <v>0</v>
      </c>
      <c r="D31" s="52">
        <f>'I. Renditud põhivarad'!I130</f>
        <v>0</v>
      </c>
    </row>
    <row r="32" spans="1:9" x14ac:dyDescent="0.2">
      <c r="A32" s="150" t="s">
        <v>115</v>
      </c>
      <c r="B32" s="13" t="s">
        <v>34</v>
      </c>
      <c r="C32" s="52">
        <f>'H.Põhivarade järjepidev arvest.'!P52</f>
        <v>0</v>
      </c>
      <c r="D32" s="52">
        <f>'H.Põhivarade järjepidev arvest.'!Q52</f>
        <v>0</v>
      </c>
    </row>
    <row r="33" spans="1:9" x14ac:dyDescent="0.2">
      <c r="A33" s="150" t="s">
        <v>125</v>
      </c>
      <c r="B33" s="13" t="s">
        <v>246</v>
      </c>
      <c r="C33" s="58"/>
      <c r="D33" s="58"/>
    </row>
    <row r="34" spans="1:9" x14ac:dyDescent="0.2">
      <c r="A34" s="150" t="s">
        <v>164</v>
      </c>
      <c r="B34" s="13" t="s">
        <v>35</v>
      </c>
      <c r="C34" s="52">
        <f>SUM(C29:C33)</f>
        <v>153.04497320000002</v>
      </c>
      <c r="D34" s="52">
        <f>SUM(D29:D33)</f>
        <v>151.83384510000002</v>
      </c>
    </row>
    <row r="35" spans="1:9" x14ac:dyDescent="0.2">
      <c r="A35" s="150"/>
      <c r="B35" s="13"/>
      <c r="C35" s="52"/>
      <c r="D35" s="52"/>
    </row>
    <row r="36" spans="1:9" x14ac:dyDescent="0.2">
      <c r="A36" s="150" t="s">
        <v>217</v>
      </c>
      <c r="B36" s="13" t="s">
        <v>566</v>
      </c>
      <c r="C36" s="52">
        <f>'H.Põhivarade järjepidev arvest.'!P45</f>
        <v>0</v>
      </c>
      <c r="D36" s="52">
        <f>'H.Põhivarade järjepidev arvest.'!Q45</f>
        <v>0</v>
      </c>
      <c r="E36" s="123"/>
    </row>
    <row r="37" spans="1:9" x14ac:dyDescent="0.2">
      <c r="A37" s="150" t="s">
        <v>218</v>
      </c>
      <c r="B37" s="13" t="s">
        <v>567</v>
      </c>
      <c r="C37" s="52">
        <f>'H.Põhivarade järjepidev arvest.'!P53</f>
        <v>0</v>
      </c>
      <c r="D37" s="52">
        <f>'H.Põhivarade järjepidev arvest.'!Q53</f>
        <v>0</v>
      </c>
    </row>
    <row r="38" spans="1:9" x14ac:dyDescent="0.2">
      <c r="A38" s="150" t="s">
        <v>242</v>
      </c>
      <c r="B38" s="13" t="s">
        <v>36</v>
      </c>
      <c r="C38" s="52">
        <f>C34*0.05</f>
        <v>7.6522486600000015</v>
      </c>
      <c r="D38" s="52">
        <f>D34*0.05</f>
        <v>7.5916922550000017</v>
      </c>
    </row>
    <row r="39" spans="1:9" x14ac:dyDescent="0.2">
      <c r="A39" s="150" t="s">
        <v>243</v>
      </c>
      <c r="B39" s="13" t="s">
        <v>389</v>
      </c>
      <c r="C39" s="52">
        <f>(C36+C37)/2+C38</f>
        <v>7.6522486600000015</v>
      </c>
      <c r="D39" s="52">
        <f>(D36+D37)/2+D38</f>
        <v>7.5916922550000017</v>
      </c>
    </row>
    <row r="40" spans="1:9" ht="15.75" customHeight="1" x14ac:dyDescent="0.2">
      <c r="A40" s="150" t="s">
        <v>244</v>
      </c>
      <c r="B40" s="13" t="s">
        <v>37</v>
      </c>
      <c r="C40" s="412"/>
      <c r="D40" s="413"/>
      <c r="E40" s="829" t="s">
        <v>245</v>
      </c>
      <c r="F40" s="829"/>
      <c r="G40" s="829"/>
      <c r="H40" s="136" t="str">
        <f>C28</f>
        <v>2026</v>
      </c>
      <c r="I40" s="136" t="str">
        <f>D28</f>
        <v>2027</v>
      </c>
    </row>
    <row r="41" spans="1:9" x14ac:dyDescent="0.2">
      <c r="A41" s="150" t="s">
        <v>513</v>
      </c>
      <c r="B41" s="31" t="s">
        <v>38</v>
      </c>
      <c r="C41" s="414">
        <f>C39*C40/100</f>
        <v>0</v>
      </c>
      <c r="D41" s="414">
        <f>D39*D40/100</f>
        <v>0</v>
      </c>
      <c r="E41" s="829"/>
      <c r="F41" s="829"/>
      <c r="G41" s="829"/>
      <c r="H41" s="152">
        <f>C33-C41</f>
        <v>0</v>
      </c>
      <c r="I41" s="152">
        <f>D33-D41</f>
        <v>0</v>
      </c>
    </row>
    <row r="42" spans="1:9" ht="12.75" customHeight="1" x14ac:dyDescent="0.2">
      <c r="A42" s="832" t="s">
        <v>39</v>
      </c>
      <c r="B42" s="832"/>
      <c r="C42" s="832"/>
      <c r="D42" s="833"/>
      <c r="E42" s="830" t="s">
        <v>514</v>
      </c>
      <c r="F42" s="830"/>
      <c r="G42" s="830"/>
      <c r="H42" s="830"/>
      <c r="I42" s="830"/>
    </row>
    <row r="43" spans="1:9" x14ac:dyDescent="0.2">
      <c r="A43" s="661" t="str">
        <f>A21</f>
        <v>Alates 01.07.2025 on kaugküttesektoris WACC soojuse tootjatele 6,57% ja võrguettevõtjatele 5,55%.</v>
      </c>
      <c r="B43" s="661"/>
      <c r="C43" s="661"/>
      <c r="D43" s="662"/>
      <c r="E43" s="830"/>
      <c r="F43" s="830"/>
      <c r="G43" s="830"/>
      <c r="H43" s="830"/>
      <c r="I43" s="830"/>
    </row>
    <row r="44" spans="1:9" x14ac:dyDescent="0.2">
      <c r="A44" s="661"/>
      <c r="B44" s="661"/>
      <c r="C44" s="661"/>
      <c r="D44" s="662"/>
      <c r="E44" s="830"/>
      <c r="F44" s="830"/>
      <c r="G44" s="830"/>
      <c r="H44" s="830"/>
      <c r="I44" s="830"/>
    </row>
    <row r="45" spans="1:9" ht="15.75" x14ac:dyDescent="0.25">
      <c r="A45" s="831" t="str">
        <f>A22</f>
        <v>link Juhend kaalutud keskmise kapitali hinna (WACC) arvutamiseks</v>
      </c>
      <c r="B45" s="831"/>
      <c r="C45" s="831"/>
      <c r="D45" s="831"/>
      <c r="E45" s="151"/>
      <c r="F45" s="151"/>
      <c r="G45" s="151"/>
      <c r="H45" s="151"/>
    </row>
  </sheetData>
  <mergeCells count="14">
    <mergeCell ref="E40:G41"/>
    <mergeCell ref="E42:I44"/>
    <mergeCell ref="A43:D44"/>
    <mergeCell ref="E20:I22"/>
    <mergeCell ref="A45:D45"/>
    <mergeCell ref="A20:D20"/>
    <mergeCell ref="A21:D21"/>
    <mergeCell ref="A22:D22"/>
    <mergeCell ref="A42:D42"/>
    <mergeCell ref="A4:A5"/>
    <mergeCell ref="B4:B5"/>
    <mergeCell ref="E18:G19"/>
    <mergeCell ref="A27:A28"/>
    <mergeCell ref="B27:B28"/>
  </mergeCells>
  <hyperlinks>
    <hyperlink ref="A22" r:id="rId1" display="link Juhend 2014.a kaalutud keskmise kapitali hinna (WACC) leidmiseks" xr:uid="{00000000-0004-0000-0900-000000000000}"/>
    <hyperlink ref="A45" r:id="rId2" display="link Juhend 2014.a kaalutud keskmise kapitali hinna (WACC) leidmiseks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96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eht2">
    <tabColor rgb="FFFF0000"/>
  </sheetPr>
  <dimension ref="A1:K92"/>
  <sheetViews>
    <sheetView tabSelected="1" workbookViewId="0">
      <selection activeCell="I24" sqref="I24"/>
    </sheetView>
  </sheetViews>
  <sheetFormatPr defaultColWidth="9" defaultRowHeight="12.75" outlineLevelRow="1" x14ac:dyDescent="0.2"/>
  <cols>
    <col min="1" max="1" width="45.5" style="6" customWidth="1"/>
    <col min="2" max="6" width="11.375" style="6" customWidth="1"/>
    <col min="7" max="7" width="11.125" style="6" customWidth="1"/>
    <col min="8" max="8" width="9" style="6"/>
    <col min="9" max="9" width="27.875" style="6" customWidth="1"/>
    <col min="10" max="16384" width="9" style="6"/>
  </cols>
  <sheetData>
    <row r="1" spans="1:11" ht="15.75" x14ac:dyDescent="0.25">
      <c r="A1" s="89" t="s">
        <v>248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2">
      <c r="A2" s="82" t="s">
        <v>696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66" customFormat="1" ht="15" customHeight="1" x14ac:dyDescent="0.2">
      <c r="A3" s="82" t="s">
        <v>697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x14ac:dyDescent="0.2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2.75" customHeight="1" x14ac:dyDescent="0.2">
      <c r="A5" s="83" t="s">
        <v>771</v>
      </c>
      <c r="B5" s="553" t="str">
        <f>IF('A. Üldandmed'!B12=0," ",'A. Üldandmed'!B12)</f>
        <v>Lähte</v>
      </c>
      <c r="C5" s="553"/>
      <c r="D5" s="553"/>
      <c r="E5" s="553"/>
      <c r="F5" s="553"/>
      <c r="G5" s="553"/>
      <c r="H5" s="83"/>
      <c r="I5" s="83"/>
      <c r="J5" s="83"/>
      <c r="K5" s="83"/>
    </row>
    <row r="6" spans="1:11" ht="15" customHeight="1" x14ac:dyDescent="0.2">
      <c r="B6" s="82"/>
      <c r="C6" s="82"/>
      <c r="D6" s="558" t="s">
        <v>613</v>
      </c>
      <c r="E6" s="559"/>
      <c r="F6" s="559"/>
      <c r="G6" s="560"/>
      <c r="I6" s="73"/>
    </row>
    <row r="7" spans="1:11" x14ac:dyDescent="0.2">
      <c r="B7" s="343"/>
      <c r="C7" s="343"/>
      <c r="D7" s="561"/>
      <c r="E7" s="562"/>
      <c r="F7" s="563">
        <v>46235</v>
      </c>
      <c r="G7" s="564"/>
      <c r="I7" s="73"/>
    </row>
    <row r="8" spans="1:11" x14ac:dyDescent="0.2">
      <c r="A8" s="6" t="s">
        <v>261</v>
      </c>
    </row>
    <row r="9" spans="1:11" x14ac:dyDescent="0.2">
      <c r="A9" s="67"/>
      <c r="B9" s="68" t="s">
        <v>0</v>
      </c>
      <c r="C9" s="157" t="str">
        <f>'B. Algandmed'!D6</f>
        <v>2023</v>
      </c>
      <c r="D9" s="157" t="str">
        <f>'B. Algandmed'!E6</f>
        <v>2024</v>
      </c>
      <c r="E9" s="157" t="str">
        <f>'B. Algandmed'!F6</f>
        <v>2025</v>
      </c>
      <c r="F9" s="157" t="str">
        <f>IF(F7=0,'B. Algandmed'!G6,IF(F7-'B. Algandmed'!E3&gt;182,'B. Algandmed'!G6,"Taotlus"))</f>
        <v>2026</v>
      </c>
      <c r="G9" s="157" t="str">
        <f>IF(F7=0,'B. Algandmed'!H6,IF(F7-'B. Algandmed'!E3&gt;182,"Taotlus",'B. Algandmed'!H6))</f>
        <v>Taotlus</v>
      </c>
      <c r="H9" s="77"/>
      <c r="I9" s="56"/>
    </row>
    <row r="10" spans="1:11" x14ac:dyDescent="0.2">
      <c r="A10" s="70" t="s">
        <v>254</v>
      </c>
      <c r="B10" s="71" t="s">
        <v>1</v>
      </c>
      <c r="C10" s="72">
        <f>'B. Algandmed'!D131</f>
        <v>3055</v>
      </c>
      <c r="D10" s="72">
        <f>'B. Algandmed'!E131</f>
        <v>2975.1</v>
      </c>
      <c r="E10" s="72">
        <f>'B. Algandmed'!F131</f>
        <v>2939.7</v>
      </c>
      <c r="F10" s="72">
        <f>'B. Algandmed'!G131</f>
        <v>3583</v>
      </c>
      <c r="G10" s="72">
        <f>'B. Algandmed'!H131</f>
        <v>3583</v>
      </c>
      <c r="I10" s="77"/>
    </row>
    <row r="11" spans="1:11" x14ac:dyDescent="0.2">
      <c r="A11" s="70" t="s">
        <v>43</v>
      </c>
      <c r="B11" s="71" t="s">
        <v>2</v>
      </c>
      <c r="C11" s="206">
        <f>'B. Algandmed'!D132</f>
        <v>94.903314863750339</v>
      </c>
      <c r="D11" s="206">
        <f>'B. Algandmed'!E132</f>
        <v>97.333399219013899</v>
      </c>
      <c r="E11" s="206">
        <f>'B. Algandmed'!F132</f>
        <v>91.450319378349093</v>
      </c>
      <c r="F11" s="206">
        <f>'B. Algandmed'!G132</f>
        <v>89.209242107359813</v>
      </c>
      <c r="G11" s="206">
        <f>'B. Algandmed'!H132</f>
        <v>89.209242107359813</v>
      </c>
      <c r="I11" s="77"/>
    </row>
    <row r="12" spans="1:11" x14ac:dyDescent="0.2">
      <c r="A12" s="70" t="s">
        <v>381</v>
      </c>
      <c r="B12" s="71" t="s">
        <v>1</v>
      </c>
      <c r="C12" s="72">
        <f>'B. Algandmed'!D134</f>
        <v>0</v>
      </c>
      <c r="D12" s="72">
        <f>'B. Algandmed'!E134</f>
        <v>0</v>
      </c>
      <c r="E12" s="72">
        <f>'B. Algandmed'!F134</f>
        <v>0</v>
      </c>
      <c r="F12" s="72">
        <f>'B. Algandmed'!G134</f>
        <v>0</v>
      </c>
      <c r="G12" s="72">
        <f>'B. Algandmed'!H134</f>
        <v>0</v>
      </c>
      <c r="I12" s="77"/>
    </row>
    <row r="13" spans="1:11" outlineLevel="1" x14ac:dyDescent="0.2">
      <c r="A13" s="70" t="s">
        <v>382</v>
      </c>
      <c r="B13" s="71" t="s">
        <v>1</v>
      </c>
      <c r="C13" s="72">
        <f>'B. Algandmed'!D135</f>
        <v>0</v>
      </c>
      <c r="D13" s="72">
        <f>'B. Algandmed'!E135</f>
        <v>0</v>
      </c>
      <c r="E13" s="72">
        <f>'B. Algandmed'!F135</f>
        <v>0</v>
      </c>
      <c r="F13" s="72">
        <f>'B. Algandmed'!G135</f>
        <v>0</v>
      </c>
      <c r="G13" s="72">
        <f>'B. Algandmed'!H135</f>
        <v>0</v>
      </c>
      <c r="I13" s="77"/>
    </row>
    <row r="14" spans="1:11" outlineLevel="1" x14ac:dyDescent="0.2">
      <c r="A14" s="70" t="s">
        <v>383</v>
      </c>
      <c r="B14" s="71" t="s">
        <v>1</v>
      </c>
      <c r="C14" s="72">
        <f>'B. Algandmed'!D136</f>
        <v>0</v>
      </c>
      <c r="D14" s="72">
        <f>'B. Algandmed'!E136</f>
        <v>0</v>
      </c>
      <c r="E14" s="72">
        <f>'B. Algandmed'!F136</f>
        <v>0</v>
      </c>
      <c r="F14" s="72">
        <f>'B. Algandmed'!G136</f>
        <v>0</v>
      </c>
      <c r="G14" s="72">
        <f>'B. Algandmed'!H136</f>
        <v>0</v>
      </c>
      <c r="I14" s="77"/>
    </row>
    <row r="15" spans="1:11" outlineLevel="1" x14ac:dyDescent="0.2">
      <c r="A15" s="13" t="s">
        <v>384</v>
      </c>
      <c r="B15" s="71" t="s">
        <v>1</v>
      </c>
      <c r="C15" s="72">
        <f>'B. Algandmed'!D137</f>
        <v>0</v>
      </c>
      <c r="D15" s="72">
        <f>'B. Algandmed'!E137</f>
        <v>0</v>
      </c>
      <c r="E15" s="72">
        <f>'B. Algandmed'!F137</f>
        <v>0</v>
      </c>
      <c r="F15" s="72">
        <f>'B. Algandmed'!G137</f>
        <v>0</v>
      </c>
      <c r="G15" s="72">
        <f>'B. Algandmed'!H137</f>
        <v>0</v>
      </c>
      <c r="I15" s="77"/>
    </row>
    <row r="16" spans="1:11" x14ac:dyDescent="0.2">
      <c r="A16" s="555" t="s">
        <v>3</v>
      </c>
      <c r="B16" s="71" t="s">
        <v>2</v>
      </c>
      <c r="C16" s="429">
        <f>'B. Algandmed'!D149</f>
        <v>19.115351882160397</v>
      </c>
      <c r="D16" s="429">
        <f>'B. Algandmed'!E149</f>
        <v>22.550771402641924</v>
      </c>
      <c r="E16" s="429">
        <f>'B. Algandmed'!F149</f>
        <v>17.150770486784367</v>
      </c>
      <c r="F16" s="429">
        <f>'B. Algandmed'!G149</f>
        <v>14.875802400223275</v>
      </c>
      <c r="G16" s="429">
        <f>'B. Algandmed'!H149</f>
        <v>14.875802400223275</v>
      </c>
      <c r="H16" s="77"/>
    </row>
    <row r="17" spans="1:11" x14ac:dyDescent="0.2">
      <c r="A17" s="556"/>
      <c r="B17" s="71" t="s">
        <v>1</v>
      </c>
      <c r="C17" s="72">
        <f>'B. Algandmed'!D148</f>
        <v>583.97400000000016</v>
      </c>
      <c r="D17" s="72">
        <f>'B. Algandmed'!E148</f>
        <v>670.9079999999999</v>
      </c>
      <c r="E17" s="72">
        <f>'B. Algandmed'!F148</f>
        <v>504.18119999999999</v>
      </c>
      <c r="F17" s="72">
        <f>'B. Algandmed'!G148</f>
        <v>533</v>
      </c>
      <c r="G17" s="72">
        <f>'B. Algandmed'!H148</f>
        <v>533</v>
      </c>
      <c r="H17" s="77"/>
    </row>
    <row r="18" spans="1:11" x14ac:dyDescent="0.2">
      <c r="A18" s="75" t="s">
        <v>4</v>
      </c>
      <c r="B18" s="154" t="s">
        <v>1</v>
      </c>
      <c r="C18" s="207">
        <f>'B. Algandmed'!D141</f>
        <v>2471.0259999999998</v>
      </c>
      <c r="D18" s="207">
        <f>'B. Algandmed'!E141</f>
        <v>2304.192</v>
      </c>
      <c r="E18" s="207">
        <f>'B. Algandmed'!F141</f>
        <v>2435.5187999999998</v>
      </c>
      <c r="F18" s="207">
        <f>'B. Algandmed'!G141</f>
        <v>3050</v>
      </c>
      <c r="G18" s="207">
        <f>'B. Algandmed'!H141</f>
        <v>3050</v>
      </c>
    </row>
    <row r="19" spans="1:11" x14ac:dyDescent="0.2">
      <c r="A19" s="70" t="str">
        <f>"Kütuse ("&amp;'B. Algandmed'!D$107&amp;") kogus"</f>
        <v>Kütuse (maagaas ) kogus</v>
      </c>
      <c r="B19" s="9" t="str">
        <f>IF(OR('B. Algandmed'!D$107="vali loendist",'B. Algandmed'!D$107="põlevkiviõli",'B. Algandmed'!D$107="maagaas"),'B. Algandmed'!C108,'B. Algandmed'!C110)</f>
        <v>MWh</v>
      </c>
      <c r="C19" s="208">
        <f>IF(OR('B. Algandmed'!D$107="vali loendist",'B. Algandmed'!D$107="põlevkiviõli",'B. Algandmed'!D$107="maagaas"),'B. Algandmed'!D108,'B. Algandmed'!D110)</f>
        <v>3219.0656399999998</v>
      </c>
      <c r="D19" s="208">
        <f>IF(OR('B. Algandmed'!D$107="vali loendist",'B. Algandmed'!D$107="põlevkiviõli",'B. Algandmed'!D$107="maagaas"),'B. Algandmed'!E108,'B. Algandmed'!E110)</f>
        <v>3056.60752</v>
      </c>
      <c r="E19" s="208">
        <f>IF(OR('B. Algandmed'!D$107="vali loendist",'B. Algandmed'!D$107="põlevkiviõli",'B. Algandmed'!D$107="maagaas"),'B. Algandmed'!F108,'B. Algandmed'!F110)</f>
        <v>2226.3322400000002</v>
      </c>
      <c r="F19" s="208">
        <f>IF(OR('B. Algandmed'!D$107="vali loendist",'B. Algandmed'!D$107="põlevkiviõli",'B. Algandmed'!D$107="maagaas"),'B. Algandmed'!G108,'B. Algandmed'!G110)</f>
        <v>290.39999999999998</v>
      </c>
      <c r="G19" s="208">
        <f>IF(OR('B. Algandmed'!D$107="vali loendist",'B. Algandmed'!D$107="põlevkiviõli",'B. Algandmed'!D$107="maagaas"),'B. Algandmed'!H108,'B. Algandmed'!H110)</f>
        <v>290.39999999999998</v>
      </c>
    </row>
    <row r="20" spans="1:11" x14ac:dyDescent="0.2">
      <c r="A20" s="70" t="str">
        <f>"Kütuse ("&amp;'B. Algandmed'!D$107&amp;") hind"</f>
        <v>Kütuse (maagaas ) hind</v>
      </c>
      <c r="B20" s="155" t="str">
        <f>IF(OR('B. Algandmed'!D$107="vali loendist",'B. Algandmed'!D$107="põlevkiviõli",'B. Algandmed'!D$107="maagaas"),'E. Muutuvkulud'!C9,'E. Muutuvkulud'!C11)</f>
        <v>€/MWh</v>
      </c>
      <c r="C20" s="209">
        <f>IF(OR('B. Algandmed'!D$107="vali loendist",'B. Algandmed'!D$107="põlevkiviõli",'B. Algandmed'!D$107="maagaas"),'E. Muutuvkulud'!D9,'E. Muutuvkulud'!D11)</f>
        <v>32.017318540916733</v>
      </c>
      <c r="D20" s="209">
        <f>IF(OR('B. Algandmed'!D$107="vali loendist",'B. Algandmed'!D$107="põlevkiviõli",'B. Algandmed'!D$107="maagaas"),'E. Muutuvkulud'!E9,'E. Muutuvkulud'!E11)</f>
        <v>68.310045903440027</v>
      </c>
      <c r="E20" s="209">
        <f>IF(OR('B. Algandmed'!D$107="vali loendist",'B. Algandmed'!D$107="põlevkiviõli",'B. Algandmed'!D$107="maagaas"),'E. Muutuvkulud'!F9,'E. Muutuvkulud'!F11)</f>
        <v>73.828603407369243</v>
      </c>
      <c r="F20" s="209">
        <f>IF(OR('B. Algandmed'!D$107="vali loendist",'B. Algandmed'!D$107="põlevkiviõli",'B. Algandmed'!D$107="maagaas"),'E. Muutuvkulud'!G9,'E. Muutuvkulud'!G11)</f>
        <v>66.492768595041326</v>
      </c>
      <c r="G20" s="209">
        <f>IF(OR('B. Algandmed'!D$107="vali loendist",'B. Algandmed'!D$107="põlevkiviõli",'B. Algandmed'!D$107="maagaas"),'E. Muutuvkulud'!H9,'E. Muutuvkulud'!H11)</f>
        <v>66.492768595041326</v>
      </c>
    </row>
    <row r="21" spans="1:11" outlineLevel="1" x14ac:dyDescent="0.2">
      <c r="A21" s="70" t="str">
        <f>"Kütuse ("&amp;'B. Algandmed'!D$115&amp;") kogus"</f>
        <v>Kütuse (hakkpuit ) kogus</v>
      </c>
      <c r="B21" s="9" t="str">
        <f>IF(OR('B. Algandmed'!D$115="vali loendist",'B. Algandmed'!D$115="põlevkiviõli",'B. Algandmed'!D$115="maagaas"),'B. Algandmed'!C116,'B. Algandmed'!C118)</f>
        <v>MWh</v>
      </c>
      <c r="C21" s="208">
        <f>IF(OR('B. Algandmed'!D$115="vali loendist",'B. Algandmed'!D$115="põlevkiviõli",'B. Algandmed'!D$115="maagaas"),'B. Algandmed'!D116,'B. Algandmed'!D118)</f>
        <v>0</v>
      </c>
      <c r="D21" s="208">
        <f>IF(OR('B. Algandmed'!D$115="vali loendist",'B. Algandmed'!D$115="põlevkiviõli",'B. Algandmed'!D$115="maagaas"),'B. Algandmed'!E116,'B. Algandmed'!E118)</f>
        <v>0</v>
      </c>
      <c r="E21" s="208">
        <f>IF(OR('B. Algandmed'!D$115="vali loendist",'B. Algandmed'!D$115="põlevkiviõli",'B. Algandmed'!D$115="maagaas"),'B. Algandmed'!F116,'B. Algandmed'!F118)</f>
        <v>988.2</v>
      </c>
      <c r="F21" s="208">
        <f>IF(OR('B. Algandmed'!D$115="vali loendist",'B. Algandmed'!D$115="põlevkiviõli",'B. Algandmed'!D$115="maagaas"),'B. Algandmed'!G116,'B. Algandmed'!G118)</f>
        <v>3726.0000000000005</v>
      </c>
      <c r="G21" s="208">
        <f>IF(OR('B. Algandmed'!D$115="vali loendist",'B. Algandmed'!D$115="põlevkiviõli",'B. Algandmed'!D$115="maagaas"),'B. Algandmed'!H116,'B. Algandmed'!H118)</f>
        <v>3726.0000000000005</v>
      </c>
    </row>
    <row r="22" spans="1:11" outlineLevel="1" x14ac:dyDescent="0.2">
      <c r="A22" s="70" t="str">
        <f>"Kütuse ("&amp;'B. Algandmed'!D$115&amp;") hind"</f>
        <v>Kütuse (hakkpuit ) hind</v>
      </c>
      <c r="B22" s="155" t="str">
        <f>IF(OR('B. Algandmed'!D$115="vali loendist",'B. Algandmed'!D$115="põlevkiviõli",'B. Algandmed'!D$115="maagaas"),'E. Muutuvkulud'!C15,'E. Muutuvkulud'!C17)</f>
        <v>€/MWh</v>
      </c>
      <c r="C22" s="209">
        <f>IF(OR('B. Algandmed'!D$115="vali loendist",'B. Algandmed'!D$115="põlevkiviõli",'B. Algandmed'!D$115="maagaas"),'E. Muutuvkulud'!D15,'E. Muutuvkulud'!D17)</f>
        <v>0</v>
      </c>
      <c r="D22" s="209">
        <f>IF(OR('B. Algandmed'!D$115="vali loendist",'B. Algandmed'!D$115="põlevkiviõli",'B. Algandmed'!D$115="maagaas"),'E. Muutuvkulud'!E15,'E. Muutuvkulud'!E17)</f>
        <v>0</v>
      </c>
      <c r="E22" s="209">
        <f>IF(OR('B. Algandmed'!D$115="vali loendist",'B. Algandmed'!D$115="põlevkiviõli",'B. Algandmed'!D$115="maagaas"),'E. Muutuvkulud'!F15,'E. Muutuvkulud'!F17)</f>
        <v>20.582877959927139</v>
      </c>
      <c r="F22" s="209">
        <f>IF(OR('B. Algandmed'!D$115="vali loendist",'B. Algandmed'!D$115="põlevkiviõli",'B. Algandmed'!D$115="maagaas"),'E. Muutuvkulud'!G15,'E. Muutuvkulud'!G17)</f>
        <v>23.870370370370367</v>
      </c>
      <c r="G22" s="209">
        <f>IF(OR('B. Algandmed'!D$115="vali loendist",'B. Algandmed'!D$115="põlevkiviõli",'B. Algandmed'!D$115="maagaas"),'E. Muutuvkulud'!H15,'E. Muutuvkulud'!H17)</f>
        <v>23.870370370370367</v>
      </c>
    </row>
    <row r="23" spans="1:11" outlineLevel="1" x14ac:dyDescent="0.2">
      <c r="A23" s="70" t="str">
        <f>"Kütuse ("&amp;'B. Algandmed'!D$123&amp;") kogus"</f>
        <v>Kütuse (vali loendist) kogus</v>
      </c>
      <c r="B23" s="9" t="str">
        <f>IF(OR('B. Algandmed'!D$123="vali loendist",'B. Algandmed'!D$123="põlevkiviõli",'B. Algandmed'!D$123="maagaas"),'B. Algandmed'!C124,'B. Algandmed'!C126)</f>
        <v>(ühik)</v>
      </c>
      <c r="C23" s="208">
        <f>IF(OR('B. Algandmed'!D$123="vali loendist",'B. Algandmed'!D$123="põlevkiviõli",'B. Algandmed'!D$123="maagaas"),'B. Algandmed'!D124,'B. Algandmed'!D126)</f>
        <v>0</v>
      </c>
      <c r="D23" s="208">
        <f>IF(OR('B. Algandmed'!D$123="vali loendist",'B. Algandmed'!D$123="põlevkiviõli",'B. Algandmed'!D$123="maagaas"),'B. Algandmed'!E124,'B. Algandmed'!E126)</f>
        <v>0</v>
      </c>
      <c r="E23" s="208">
        <f>IF(OR('B. Algandmed'!D$123="vali loendist",'B. Algandmed'!D$123="põlevkiviõli",'B. Algandmed'!D$123="maagaas"),'B. Algandmed'!F124,'B. Algandmed'!F126)</f>
        <v>0</v>
      </c>
      <c r="F23" s="208">
        <f>IF(OR('B. Algandmed'!D$123="vali loendist",'B. Algandmed'!D$123="põlevkiviõli",'B. Algandmed'!D$123="maagaas"),'B. Algandmed'!G124,'B. Algandmed'!G126)</f>
        <v>0</v>
      </c>
      <c r="G23" s="208">
        <f>IF(OR('B. Algandmed'!D$123="vali loendist",'B. Algandmed'!D$123="põlevkiviõli",'B. Algandmed'!D$123="maagaas"),'B. Algandmed'!H124,'B. Algandmed'!H126)</f>
        <v>0</v>
      </c>
    </row>
    <row r="24" spans="1:11" outlineLevel="1" x14ac:dyDescent="0.2">
      <c r="A24" s="70" t="str">
        <f>"Kütuse ("&amp;'B. Algandmed'!D$123&amp;") hind"</f>
        <v>Kütuse (vali loendist) hind</v>
      </c>
      <c r="B24" s="71" t="str">
        <f>IF(OR('B. Algandmed'!D$123="vali loendist",'B. Algandmed'!D$123="põlevkiviõli",'B. Algandmed'!D$123="maagaas"),'E. Muutuvkulud'!C21,'E. Muutuvkulud'!C23)</f>
        <v>€/(ühik)</v>
      </c>
      <c r="C24" s="74">
        <f>IF(OR('B. Algandmed'!D$123="vali loendist",'B. Algandmed'!D$123="põlevkiviõli",'B. Algandmed'!D$123="maagaas"),'E. Muutuvkulud'!D21,'E. Muutuvkulud'!D23)</f>
        <v>0</v>
      </c>
      <c r="D24" s="74">
        <f>IF(OR('B. Algandmed'!D$123="vali loendist",'B. Algandmed'!D$123="põlevkiviõli",'B. Algandmed'!D$123="maagaas"),'E. Muutuvkulud'!E21,'E. Muutuvkulud'!E23)</f>
        <v>0</v>
      </c>
      <c r="E24" s="74">
        <f>IF(OR('B. Algandmed'!D$123="vali loendist",'B. Algandmed'!D$123="põlevkiviõli",'B. Algandmed'!D$123="maagaas"),'E. Muutuvkulud'!F21,'E. Muutuvkulud'!F23)</f>
        <v>0</v>
      </c>
      <c r="F24" s="74">
        <f>IF(OR('B. Algandmed'!D$123="vali loendist",'B. Algandmed'!D$123="põlevkiviõli",'B. Algandmed'!D$123="maagaas"),'E. Muutuvkulud'!G21,'E. Muutuvkulud'!G23)</f>
        <v>0</v>
      </c>
      <c r="G24" s="74">
        <f>IF(OR('B. Algandmed'!D$123="vali loendist",'B. Algandmed'!D$123="põlevkiviõli",'B. Algandmed'!D$123="maagaas"),'E. Muutuvkulud'!H21,'E. Muutuvkulud'!H23)</f>
        <v>0</v>
      </c>
    </row>
    <row r="25" spans="1:11" x14ac:dyDescent="0.2">
      <c r="A25" s="70" t="s">
        <v>385</v>
      </c>
      <c r="B25" s="71" t="s">
        <v>11</v>
      </c>
      <c r="C25" s="74">
        <f>'E. Muutuvkulud'!D29</f>
        <v>0</v>
      </c>
      <c r="D25" s="74">
        <f>'E. Muutuvkulud'!E29</f>
        <v>0</v>
      </c>
      <c r="E25" s="74">
        <f>'E. Muutuvkulud'!F29</f>
        <v>0</v>
      </c>
      <c r="F25" s="74">
        <f>'E. Muutuvkulud'!G29</f>
        <v>0</v>
      </c>
      <c r="G25" s="74">
        <f>'E. Muutuvkulud'!H29</f>
        <v>0</v>
      </c>
    </row>
    <row r="26" spans="1:11" hidden="1" outlineLevel="1" x14ac:dyDescent="0.2">
      <c r="A26" s="70" t="s">
        <v>386</v>
      </c>
      <c r="B26" s="71" t="s">
        <v>11</v>
      </c>
      <c r="C26" s="74">
        <f>'E. Muutuvkulud'!D33</f>
        <v>0</v>
      </c>
      <c r="D26" s="74">
        <f>'E. Muutuvkulud'!E33</f>
        <v>0</v>
      </c>
      <c r="E26" s="74">
        <f>'E. Muutuvkulud'!F33</f>
        <v>0</v>
      </c>
      <c r="F26" s="74">
        <f>'E. Muutuvkulud'!G33</f>
        <v>0</v>
      </c>
      <c r="G26" s="74">
        <f>'E. Muutuvkulud'!H33</f>
        <v>0</v>
      </c>
    </row>
    <row r="27" spans="1:11" hidden="1" outlineLevel="1" x14ac:dyDescent="0.2">
      <c r="A27" s="70" t="s">
        <v>387</v>
      </c>
      <c r="B27" s="71" t="s">
        <v>11</v>
      </c>
      <c r="C27" s="74">
        <f>'E. Muutuvkulud'!D37</f>
        <v>0</v>
      </c>
      <c r="D27" s="74">
        <f>'E. Muutuvkulud'!E37</f>
        <v>0</v>
      </c>
      <c r="E27" s="74">
        <f>'E. Muutuvkulud'!F37</f>
        <v>0</v>
      </c>
      <c r="F27" s="74">
        <f>'E. Muutuvkulud'!G37</f>
        <v>0</v>
      </c>
      <c r="G27" s="74">
        <f>'E. Muutuvkulud'!H37</f>
        <v>0</v>
      </c>
      <c r="H27" s="66"/>
      <c r="I27" s="66"/>
    </row>
    <row r="28" spans="1:11" hidden="1" outlineLevel="1" x14ac:dyDescent="0.2">
      <c r="A28" s="70" t="s">
        <v>388</v>
      </c>
      <c r="B28" s="71" t="s">
        <v>11</v>
      </c>
      <c r="C28" s="74">
        <f>'E. Muutuvkulud'!D41</f>
        <v>0</v>
      </c>
      <c r="D28" s="74">
        <f>'E. Muutuvkulud'!E41</f>
        <v>0</v>
      </c>
      <c r="E28" s="74">
        <f>'E. Muutuvkulud'!F41</f>
        <v>0</v>
      </c>
      <c r="F28" s="74">
        <f>'E. Muutuvkulud'!G41</f>
        <v>0</v>
      </c>
      <c r="G28" s="74">
        <f>'E. Muutuvkulud'!H41</f>
        <v>0</v>
      </c>
      <c r="I28" s="7"/>
    </row>
    <row r="29" spans="1:11" collapsed="1" x14ac:dyDescent="0.2">
      <c r="A29" s="75" t="s">
        <v>5</v>
      </c>
      <c r="B29" s="76" t="s">
        <v>6</v>
      </c>
      <c r="C29" s="79">
        <f>SUM(C30:C39)</f>
        <v>114.221328</v>
      </c>
      <c r="D29" s="79">
        <f>SUM(D30:D39)</f>
        <v>220.74159</v>
      </c>
      <c r="E29" s="79">
        <f>SUM(E30:E39)</f>
        <v>193.83760999999998</v>
      </c>
      <c r="F29" s="79">
        <f>SUM(F30:F39)</f>
        <v>119.3299732</v>
      </c>
      <c r="G29" s="79">
        <f>SUM(G30:G39)</f>
        <v>117.1188451</v>
      </c>
    </row>
    <row r="30" spans="1:11" x14ac:dyDescent="0.2">
      <c r="A30" s="485" t="str">
        <f>"Kulud kütuse ("&amp;'B. Algandmed'!D$107&amp;") ostuks"</f>
        <v>Kulud kütuse (maagaas ) ostuks</v>
      </c>
      <c r="B30" s="71" t="s">
        <v>6</v>
      </c>
      <c r="C30" s="74">
        <f>'E. Muutuvkulud'!D10</f>
        <v>103.06585</v>
      </c>
      <c r="D30" s="74">
        <f>'E. Muutuvkulud'!E10</f>
        <v>208.797</v>
      </c>
      <c r="E30" s="74">
        <f>'E. Muutuvkulud'!F10</f>
        <v>164.36699999999999</v>
      </c>
      <c r="F30" s="74">
        <f>'E. Muutuvkulud'!G10</f>
        <v>19.3095</v>
      </c>
      <c r="G30" s="74">
        <f>'E. Muutuvkulud'!H10</f>
        <v>19.3095</v>
      </c>
      <c r="J30" s="66"/>
      <c r="K30" s="66"/>
    </row>
    <row r="31" spans="1:11" outlineLevel="1" x14ac:dyDescent="0.2">
      <c r="A31" s="485" t="str">
        <f>"Kulud kütuse ("&amp;'B. Algandmed'!D$115&amp;") ostuks"</f>
        <v>Kulud kütuse (hakkpuit ) ostuks</v>
      </c>
      <c r="B31" s="71" t="s">
        <v>6</v>
      </c>
      <c r="C31" s="74">
        <f>'E. Muutuvkulud'!D16</f>
        <v>0</v>
      </c>
      <c r="D31" s="74">
        <f>'E. Muutuvkulud'!E16</f>
        <v>0</v>
      </c>
      <c r="E31" s="74">
        <f>'E. Muutuvkulud'!F16</f>
        <v>20.34</v>
      </c>
      <c r="F31" s="74">
        <f>'E. Muutuvkulud'!G16</f>
        <v>88.941000000000003</v>
      </c>
      <c r="G31" s="74">
        <f>'E. Muutuvkulud'!H16</f>
        <v>88.941000000000003</v>
      </c>
      <c r="J31" s="7"/>
    </row>
    <row r="32" spans="1:11" outlineLevel="1" x14ac:dyDescent="0.2">
      <c r="A32" s="485" t="str">
        <f>"Kulud kütuse ("&amp;'B. Algandmed'!D$123&amp;") ostuks"</f>
        <v>Kulud kütuse (vali loendist) ostuks</v>
      </c>
      <c r="B32" s="71" t="s">
        <v>6</v>
      </c>
      <c r="C32" s="74">
        <f>'E. Muutuvkulud'!D22</f>
        <v>0</v>
      </c>
      <c r="D32" s="74">
        <f>'E. Muutuvkulud'!E22</f>
        <v>0</v>
      </c>
      <c r="E32" s="74">
        <f>'E. Muutuvkulud'!F22</f>
        <v>0</v>
      </c>
      <c r="F32" s="74">
        <f>'E. Muutuvkulud'!G22</f>
        <v>0</v>
      </c>
      <c r="G32" s="74">
        <f>'E. Muutuvkulud'!H22</f>
        <v>0</v>
      </c>
    </row>
    <row r="33" spans="1:10" x14ac:dyDescent="0.2">
      <c r="A33" s="485" t="s">
        <v>765</v>
      </c>
      <c r="B33" s="71" t="s">
        <v>6</v>
      </c>
      <c r="C33" s="74">
        <f>'E. Muutuvkulud'!D30</f>
        <v>0</v>
      </c>
      <c r="D33" s="74">
        <f>'E. Muutuvkulud'!E30</f>
        <v>0</v>
      </c>
      <c r="E33" s="74">
        <f>'E. Muutuvkulud'!F30</f>
        <v>0</v>
      </c>
      <c r="F33" s="74">
        <f>'E. Muutuvkulud'!G30</f>
        <v>0</v>
      </c>
      <c r="G33" s="74">
        <f>'E. Muutuvkulud'!H30</f>
        <v>0</v>
      </c>
    </row>
    <row r="34" spans="1:10" hidden="1" outlineLevel="1" x14ac:dyDescent="0.2">
      <c r="A34" s="485" t="s">
        <v>766</v>
      </c>
      <c r="B34" s="71" t="s">
        <v>6</v>
      </c>
      <c r="C34" s="74">
        <f>'E. Muutuvkulud'!D34</f>
        <v>0</v>
      </c>
      <c r="D34" s="74">
        <f>'E. Muutuvkulud'!E34</f>
        <v>0</v>
      </c>
      <c r="E34" s="74">
        <f>'E. Muutuvkulud'!F34</f>
        <v>0</v>
      </c>
      <c r="F34" s="74">
        <f>'E. Muutuvkulud'!G34</f>
        <v>0</v>
      </c>
      <c r="G34" s="74">
        <f>'E. Muutuvkulud'!H34</f>
        <v>0</v>
      </c>
    </row>
    <row r="35" spans="1:10" hidden="1" outlineLevel="1" x14ac:dyDescent="0.2">
      <c r="A35" s="485" t="s">
        <v>767</v>
      </c>
      <c r="B35" s="71" t="s">
        <v>6</v>
      </c>
      <c r="C35" s="213">
        <f>'E. Muutuvkulud'!D38</f>
        <v>0</v>
      </c>
      <c r="D35" s="213">
        <f>'E. Muutuvkulud'!E38</f>
        <v>0</v>
      </c>
      <c r="E35" s="213">
        <f>'E. Muutuvkulud'!F38</f>
        <v>0</v>
      </c>
      <c r="F35" s="213">
        <f>'E. Muutuvkulud'!G38</f>
        <v>0</v>
      </c>
      <c r="G35" s="213">
        <f>'E. Muutuvkulud'!H38</f>
        <v>0</v>
      </c>
    </row>
    <row r="36" spans="1:10" hidden="1" outlineLevel="1" x14ac:dyDescent="0.2">
      <c r="A36" s="485" t="s">
        <v>768</v>
      </c>
      <c r="B36" s="71" t="s">
        <v>6</v>
      </c>
      <c r="C36" s="213">
        <f>'E. Muutuvkulud'!D42</f>
        <v>0</v>
      </c>
      <c r="D36" s="213">
        <f>'E. Muutuvkulud'!E42</f>
        <v>0</v>
      </c>
      <c r="E36" s="213">
        <f>'E. Muutuvkulud'!F42</f>
        <v>0</v>
      </c>
      <c r="F36" s="213">
        <f>'E. Muutuvkulud'!G42</f>
        <v>0</v>
      </c>
      <c r="G36" s="213">
        <f>'E. Muutuvkulud'!H42</f>
        <v>0</v>
      </c>
    </row>
    <row r="37" spans="1:10" collapsed="1" x14ac:dyDescent="0.2">
      <c r="A37" s="485" t="s">
        <v>769</v>
      </c>
      <c r="B37" s="71" t="s">
        <v>6</v>
      </c>
      <c r="C37" s="213">
        <f>'E. Muutuvkulud'!D47</f>
        <v>9.7692800000000002</v>
      </c>
      <c r="D37" s="213">
        <f>'E. Muutuvkulud'!E47</f>
        <v>10.219620000000001</v>
      </c>
      <c r="E37" s="213">
        <f>'E. Muutuvkulud'!F47</f>
        <v>9.0136099999999999</v>
      </c>
      <c r="F37" s="213">
        <f>'E. Muutuvkulud'!G47</f>
        <v>10.9554732</v>
      </c>
      <c r="G37" s="547">
        <f>'E. Muutuvkulud'!H47</f>
        <v>8.7643450999999999</v>
      </c>
      <c r="J37" s="7"/>
    </row>
    <row r="38" spans="1:10" x14ac:dyDescent="0.2">
      <c r="A38" s="485" t="s">
        <v>7</v>
      </c>
      <c r="B38" s="71" t="s">
        <v>6</v>
      </c>
      <c r="C38" s="74">
        <f>'E. Muutuvkulud'!D50</f>
        <v>1.35684</v>
      </c>
      <c r="D38" s="74">
        <f>'E. Muutuvkulud'!E50</f>
        <v>1.68797</v>
      </c>
      <c r="E38" s="74">
        <f>'E. Muutuvkulud'!F50</f>
        <v>0</v>
      </c>
      <c r="F38" s="74">
        <f>'E. Muutuvkulud'!G50</f>
        <v>0</v>
      </c>
      <c r="G38" s="74">
        <f>'E. Muutuvkulud'!H50</f>
        <v>0</v>
      </c>
    </row>
    <row r="39" spans="1:10" x14ac:dyDescent="0.2">
      <c r="A39" s="486" t="s">
        <v>770</v>
      </c>
      <c r="B39" s="78" t="s">
        <v>6</v>
      </c>
      <c r="C39" s="80">
        <f>'E. Muutuvkulud'!D55+'E. Muutuvkulud'!D60+'E. Muutuvkulud'!D73</f>
        <v>2.9357999999999999E-2</v>
      </c>
      <c r="D39" s="80">
        <f>'E. Muutuvkulud'!E55+'E. Muutuvkulud'!E60+'E. Muutuvkulud'!E73</f>
        <v>3.6999999999999998E-2</v>
      </c>
      <c r="E39" s="80">
        <f>'E. Muutuvkulud'!F55+'E. Muutuvkulud'!F60+'E. Muutuvkulud'!F73</f>
        <v>0.11700000000000001</v>
      </c>
      <c r="F39" s="80">
        <f>'E. Muutuvkulud'!G55+'E. Muutuvkulud'!G60+'E. Muutuvkulud'!G73</f>
        <v>0.124</v>
      </c>
      <c r="G39" s="80">
        <f>'E. Muutuvkulud'!H55+'E. Muutuvkulud'!H60+'E. Muutuvkulud'!H73</f>
        <v>0.104</v>
      </c>
      <c r="J39" s="7"/>
    </row>
    <row r="40" spans="1:10" x14ac:dyDescent="0.2">
      <c r="A40" s="75" t="s">
        <v>8</v>
      </c>
      <c r="B40" s="76" t="s">
        <v>6</v>
      </c>
      <c r="C40" s="214">
        <f>'F. Tegevuskulud'!D59</f>
        <v>34.78669</v>
      </c>
      <c r="D40" s="214">
        <f>'F. Tegevuskulud'!E59</f>
        <v>37.705000000000005</v>
      </c>
      <c r="E40" s="214">
        <f>'F. Tegevuskulud'!F59</f>
        <v>42.399000000000001</v>
      </c>
      <c r="F40" s="214">
        <f>'F. Tegevuskulud'!G59</f>
        <v>33.715000000000003</v>
      </c>
      <c r="G40" s="214">
        <f>'F. Tegevuskulud'!H59</f>
        <v>34.715000000000003</v>
      </c>
      <c r="J40" s="7"/>
    </row>
    <row r="41" spans="1:10" x14ac:dyDescent="0.2">
      <c r="A41" s="75" t="s">
        <v>564</v>
      </c>
      <c r="B41" s="76" t="s">
        <v>6</v>
      </c>
      <c r="C41" s="305">
        <v>0</v>
      </c>
      <c r="D41" s="305">
        <v>0</v>
      </c>
      <c r="E41" s="305">
        <v>0</v>
      </c>
      <c r="F41" s="79">
        <f>'I. Renditud põhivarad'!F130</f>
        <v>0</v>
      </c>
      <c r="G41" s="79">
        <f>'I. Renditud põhivarad'!I130</f>
        <v>0</v>
      </c>
      <c r="J41" s="7"/>
    </row>
    <row r="42" spans="1:10" x14ac:dyDescent="0.2">
      <c r="A42" s="81" t="s">
        <v>9</v>
      </c>
      <c r="B42" s="76" t="s">
        <v>6</v>
      </c>
      <c r="C42" s="216">
        <f>'H.Põhivarade järjepidev arvest.'!D8</f>
        <v>11.83</v>
      </c>
      <c r="D42" s="216">
        <f>'H.Põhivarade järjepidev arvest.'!G8</f>
        <v>11.83</v>
      </c>
      <c r="E42" s="216">
        <f>'H.Põhivarade järjepidev arvest.'!J8</f>
        <v>48.64</v>
      </c>
      <c r="F42" s="79">
        <f>IF('H.Põhivarade järjepidev arvest.'!P52=0,'G. Põhivarad ja kapitalikulu'!F121,'H.Põhivarade järjepidev arvest.'!P52)</f>
        <v>69.488541341607359</v>
      </c>
      <c r="G42" s="79">
        <f>IF('H.Põhivarade järjepidev arvest.'!Q52=0,'G. Põhivarad ja kapitalikulu'!I121,'H.Põhivarade järjepidev arvest.'!Q52)</f>
        <v>69.488541341607359</v>
      </c>
      <c r="J42" s="7"/>
    </row>
    <row r="43" spans="1:10" x14ac:dyDescent="0.2">
      <c r="A43" s="81" t="s">
        <v>10</v>
      </c>
      <c r="B43" s="76" t="s">
        <v>6</v>
      </c>
      <c r="C43" s="305">
        <v>11.55</v>
      </c>
      <c r="D43" s="525">
        <v>7.84</v>
      </c>
      <c r="E43" s="525">
        <v>65.97</v>
      </c>
      <c r="F43" s="79">
        <f>IF('H.Põhivarade järjepidev arvest.'!P52=0,'J. Põhjendatud tulukus'!C19,'J. Põhjendatud tulukus'!C41)</f>
        <v>104.61442446163724</v>
      </c>
      <c r="G43" s="79">
        <f>IF('H.Põhivarade järjepidev arvest.'!Q52=0,'J. Põhjendatud tulukus'!D19,'J. Põhjendatud tulukus'!D41)</f>
        <v>100.14162736038131</v>
      </c>
      <c r="J43" s="7"/>
    </row>
    <row r="44" spans="1:10" x14ac:dyDescent="0.2">
      <c r="A44" s="81" t="s">
        <v>391</v>
      </c>
      <c r="B44" s="76" t="s">
        <v>6</v>
      </c>
      <c r="C44" s="79">
        <f>C29+C40+C41+C42+C43</f>
        <v>172.38801800000002</v>
      </c>
      <c r="D44" s="79">
        <f>D29+D40+D41+D42+D43</f>
        <v>278.11658999999997</v>
      </c>
      <c r="E44" s="79">
        <f>E29+E40+E41+E42+E43</f>
        <v>350.84660999999994</v>
      </c>
      <c r="F44" s="79">
        <f>F29+F40+F41+F42+F43</f>
        <v>327.14793900324457</v>
      </c>
      <c r="G44" s="79">
        <f>G29+G40+G41+G42+G43</f>
        <v>321.4640138019887</v>
      </c>
      <c r="J44" s="7"/>
    </row>
    <row r="45" spans="1:10" s="84" customFormat="1" x14ac:dyDescent="0.2">
      <c r="A45" s="567" t="s">
        <v>763</v>
      </c>
      <c r="B45" s="71" t="s">
        <v>2</v>
      </c>
      <c r="C45" s="482">
        <f>IF(YEAR('B. Algandmed'!$E$3)-3&lt;2022,"",0.2%)</f>
        <v>2E-3</v>
      </c>
      <c r="D45" s="482">
        <f>IF(YEAR('B. Algandmed'!$E$3)-2&lt;2022,"",0.2%)</f>
        <v>2E-3</v>
      </c>
      <c r="E45" s="482">
        <f>IF(YEAR('B. Algandmed'!$E$3)-1&lt;2022,"",0.2%)</f>
        <v>2E-3</v>
      </c>
      <c r="F45" s="482">
        <f>IF(YEAR('B. Algandmed'!$E$3)&lt;2022,"",0.2%)</f>
        <v>2E-3</v>
      </c>
      <c r="G45" s="482">
        <f>IF(YEAR('B. Algandmed'!$E$3)+1&lt;2022,"",0.2%)</f>
        <v>2E-3</v>
      </c>
      <c r="J45" s="483"/>
    </row>
    <row r="46" spans="1:10" s="84" customFormat="1" x14ac:dyDescent="0.2">
      <c r="A46" s="568"/>
      <c r="B46" s="71" t="s">
        <v>6</v>
      </c>
      <c r="C46" s="74">
        <f>IF(ISNUMBER(C45),C44*C45,0)</f>
        <v>0.34477603600000006</v>
      </c>
      <c r="D46" s="74">
        <f t="shared" ref="D46:G46" si="0">IF(ISNUMBER(D45),D44*D45,0)</f>
        <v>0.55623317999999999</v>
      </c>
      <c r="E46" s="74">
        <f t="shared" si="0"/>
        <v>0.7016932199999999</v>
      </c>
      <c r="F46" s="74">
        <f t="shared" si="0"/>
        <v>0.65429587800648914</v>
      </c>
      <c r="G46" s="74">
        <f t="shared" si="0"/>
        <v>0.64292802760397738</v>
      </c>
      <c r="J46" s="483"/>
    </row>
    <row r="47" spans="1:10" x14ac:dyDescent="0.2">
      <c r="A47" s="81" t="s">
        <v>12</v>
      </c>
      <c r="B47" s="76" t="s">
        <v>11</v>
      </c>
      <c r="C47" s="79">
        <f>IF(C18=0,0,(C44+C46)*1000/C18)</f>
        <v>69.903268535418107</v>
      </c>
      <c r="D47" s="79">
        <f t="shared" ref="D47:G47" si="1">IF(D18=0,0,(D44+D46)*1000/D18)</f>
        <v>120.94166769956668</v>
      </c>
      <c r="E47" s="79">
        <f t="shared" si="1"/>
        <v>144.34226630482178</v>
      </c>
      <c r="F47" s="79">
        <f>IF(F18=0,0,(F44+F46)*1000/F18)</f>
        <v>107.47614258401674</v>
      </c>
      <c r="G47" s="79">
        <f t="shared" si="1"/>
        <v>105.6088333867517</v>
      </c>
    </row>
    <row r="48" spans="1:10" s="84" customFormat="1" x14ac:dyDescent="0.2">
      <c r="A48" s="484" t="s">
        <v>764</v>
      </c>
      <c r="B48" s="71" t="s">
        <v>11</v>
      </c>
      <c r="C48" s="74">
        <f>IF(C18=0,0,C46*1000/C18)</f>
        <v>0.13952748210662297</v>
      </c>
      <c r="D48" s="74">
        <f t="shared" ref="D48:G48" si="2">IF(D18=0,0,D46*1000/D18)</f>
        <v>0.24140053433047243</v>
      </c>
      <c r="E48" s="74">
        <f t="shared" si="2"/>
        <v>0.28810831597768816</v>
      </c>
      <c r="F48" s="74">
        <f t="shared" si="2"/>
        <v>0.21452323869065218</v>
      </c>
      <c r="G48" s="74">
        <f t="shared" si="2"/>
        <v>0.2107960746242549</v>
      </c>
      <c r="J48" s="483"/>
    </row>
    <row r="49" spans="1:8" ht="15" customHeight="1" x14ac:dyDescent="0.2">
      <c r="A49" s="210" t="s">
        <v>774</v>
      </c>
      <c r="B49" s="211" t="s">
        <v>6</v>
      </c>
      <c r="C49" s="212">
        <f>SUM(C38:C43)</f>
        <v>59.552887999999996</v>
      </c>
      <c r="D49" s="212">
        <f t="shared" ref="D49:E49" si="3">SUM(D38:D43)</f>
        <v>59.099969999999999</v>
      </c>
      <c r="E49" s="212">
        <f t="shared" si="3"/>
        <v>157.126</v>
      </c>
      <c r="F49" s="212">
        <f>SUM(F38:F43)</f>
        <v>207.94196580324461</v>
      </c>
      <c r="G49" s="212">
        <f>SUM(G38:G43)</f>
        <v>204.44916870198867</v>
      </c>
    </row>
    <row r="50" spans="1:8" ht="25.5" customHeight="1" x14ac:dyDescent="0.2">
      <c r="A50" s="565" t="s">
        <v>775</v>
      </c>
      <c r="B50" s="565"/>
      <c r="C50" s="565"/>
      <c r="D50" s="565"/>
      <c r="E50" s="565"/>
      <c r="F50" s="565"/>
      <c r="G50" s="565"/>
    </row>
    <row r="51" spans="1:8" x14ac:dyDescent="0.2">
      <c r="A51" s="566" t="s">
        <v>255</v>
      </c>
      <c r="B51" s="566"/>
      <c r="C51" s="566"/>
      <c r="D51" s="92"/>
      <c r="E51" s="92"/>
      <c r="F51" s="92"/>
      <c r="G51" s="93"/>
    </row>
    <row r="52" spans="1:8" x14ac:dyDescent="0.2">
      <c r="A52" s="67"/>
      <c r="B52" s="68" t="s">
        <v>0</v>
      </c>
      <c r="C52" s="69" t="s">
        <v>247</v>
      </c>
      <c r="E52" s="7"/>
      <c r="F52" s="7"/>
    </row>
    <row r="53" spans="1:8" x14ac:dyDescent="0.2">
      <c r="A53" s="13" t="s">
        <v>18</v>
      </c>
      <c r="B53" s="44" t="s">
        <v>11</v>
      </c>
      <c r="C53" s="340">
        <f>ROUND(IF(F7=0,0,IF(F9="Taotlus",IF(F18=0,0,F49*1000/F18),IF(G18=0,0,G49*1000/G18))),2)</f>
        <v>67.03</v>
      </c>
      <c r="E53" s="131" t="s">
        <v>876</v>
      </c>
    </row>
    <row r="54" spans="1:8" x14ac:dyDescent="0.2">
      <c r="A54" s="70" t="str">
        <f>"Kütuse ("&amp;'B. Algandmed'!D$107&amp;") tegur"</f>
        <v>Kütuse (maagaas ) tegur</v>
      </c>
      <c r="B54" s="44" t="str">
        <f>B19&amp;"/MWh"</f>
        <v>MWh/MWh</v>
      </c>
      <c r="C54" s="495">
        <f>ROUND(IF(F7=0,0,IF(F9="Taotlus",IF(F18=0,0,F19/F18),IF(G18=0,0,G19/G18))),5)</f>
        <v>9.5210000000000003E-2</v>
      </c>
      <c r="E54" s="521">
        <f>C53+C54*G20+C55*G22+C61*'C. Abitabel elekter'!E115+G48</f>
        <v>105.606390846279</v>
      </c>
    </row>
    <row r="55" spans="1:8" s="94" customFormat="1" ht="16.5" customHeight="1" outlineLevel="1" x14ac:dyDescent="0.3">
      <c r="A55" s="70" t="str">
        <f>"Kütuse ("&amp;'B. Algandmed'!D$115&amp;") tegur"</f>
        <v>Kütuse (hakkpuit ) tegur</v>
      </c>
      <c r="B55" s="44" t="str">
        <f>B21 &amp;"/MWh"</f>
        <v>MWh/MWh</v>
      </c>
      <c r="C55" s="495">
        <f>ROUND(IF(F7=0,0,IF(F9="Taotlus",IF(F18=0,0,F21/F18),IF(G18=0,0,G21/G18))),5)</f>
        <v>1.2216400000000001</v>
      </c>
    </row>
    <row r="56" spans="1:8" s="94" customFormat="1" ht="15" customHeight="1" outlineLevel="1" x14ac:dyDescent="0.3">
      <c r="A56" s="70" t="str">
        <f>"Kütuse ("&amp;'B. Algandmed'!D$123&amp;") tegur"</f>
        <v>Kütuse (vali loendist) tegur</v>
      </c>
      <c r="B56" s="44" t="str">
        <f>B23&amp;"/MWh"</f>
        <v>(ühik)/MWh</v>
      </c>
      <c r="C56" s="495">
        <f>ROUND(IF(F7=0,0,IF(F9="Taotlus",IF(F18=0,0,F23/F18),IF(G18=0,0,G23/G18))),5)</f>
        <v>0</v>
      </c>
    </row>
    <row r="57" spans="1:8" s="94" customFormat="1" ht="15" customHeight="1" x14ac:dyDescent="0.3">
      <c r="A57" s="13" t="s">
        <v>432</v>
      </c>
      <c r="B57" s="44" t="s">
        <v>30</v>
      </c>
      <c r="C57" s="495">
        <f>ROUND(IF(F7=0,0,IF(F9="Taotlus",IF(F18=0,0,F12/F18),IF(G18=0,0,G12/G18))),5)</f>
        <v>0</v>
      </c>
    </row>
    <row r="58" spans="1:8" s="94" customFormat="1" ht="15" customHeight="1" outlineLevel="1" x14ac:dyDescent="0.3">
      <c r="A58" s="13" t="s">
        <v>433</v>
      </c>
      <c r="B58" s="44" t="s">
        <v>30</v>
      </c>
      <c r="C58" s="495">
        <f>ROUND(IF(F7=0,0,IF(F9="Taotlus",IF(F18=0,0,F13/F18),IF(G18=0,0,G13/G18))),5)</f>
        <v>0</v>
      </c>
    </row>
    <row r="59" spans="1:8" s="94" customFormat="1" ht="15" customHeight="1" outlineLevel="1" x14ac:dyDescent="0.3">
      <c r="A59" s="13" t="s">
        <v>434</v>
      </c>
      <c r="B59" s="44" t="s">
        <v>30</v>
      </c>
      <c r="C59" s="495">
        <f>ROUND(IF(F7=0,0,IF(F9="Taotlus",IF(F18=0,0,F14/F18),IF(G18=0,0,G14/G18))),5)</f>
        <v>0</v>
      </c>
    </row>
    <row r="60" spans="1:8" outlineLevel="1" x14ac:dyDescent="0.2">
      <c r="A60" s="13" t="s">
        <v>435</v>
      </c>
      <c r="B60" s="44" t="s">
        <v>30</v>
      </c>
      <c r="C60" s="495">
        <f>ROUND(IF(F7=0,0,IF(F9="Taotlus",IF(F18=0,0,F15/F18),IF(G18=0,0,G15/G18))),5)</f>
        <v>0</v>
      </c>
    </row>
    <row r="61" spans="1:8" x14ac:dyDescent="0.2">
      <c r="A61" s="13" t="s">
        <v>776</v>
      </c>
      <c r="B61" s="44" t="s">
        <v>31</v>
      </c>
      <c r="C61" s="546">
        <f>ROUND(IF(F7=0,0,IF(F9="Taotlus",IF(F18=0,0,'C. Abitabel elekter'!G4/E114),IF(G18=0,0,'C. Abitabel elekter'!E114/G18))),2)</f>
        <v>17.18</v>
      </c>
    </row>
    <row r="62" spans="1:8" x14ac:dyDescent="0.2">
      <c r="A62" s="13" t="s">
        <v>527</v>
      </c>
      <c r="B62" s="44" t="s">
        <v>11</v>
      </c>
      <c r="C62" s="341">
        <v>0</v>
      </c>
    </row>
    <row r="63" spans="1:8" ht="15.75" x14ac:dyDescent="0.25">
      <c r="A63" s="554" t="s">
        <v>315</v>
      </c>
      <c r="B63" s="115" t="s">
        <v>313</v>
      </c>
      <c r="C63" s="115" t="s">
        <v>314</v>
      </c>
      <c r="D63" s="97"/>
      <c r="E63" s="97"/>
      <c r="F63" s="97"/>
      <c r="G63" s="97"/>
      <c r="H63" s="97"/>
    </row>
    <row r="64" spans="1:8" ht="15.75" customHeight="1" x14ac:dyDescent="0.2">
      <c r="A64" s="554"/>
      <c r="B64" s="90" t="s">
        <v>17</v>
      </c>
      <c r="C64" s="91"/>
      <c r="D64" s="557" t="s">
        <v>628</v>
      </c>
      <c r="E64" s="557"/>
      <c r="F64" s="557"/>
      <c r="G64" s="557"/>
      <c r="H64" s="96"/>
    </row>
    <row r="65" spans="1:11" ht="15.75" customHeight="1" x14ac:dyDescent="0.2">
      <c r="A65" s="219" t="s">
        <v>580</v>
      </c>
      <c r="B65" s="526">
        <v>47330</v>
      </c>
      <c r="C65" s="227"/>
      <c r="D65" s="557"/>
      <c r="E65" s="557"/>
      <c r="F65" s="557"/>
      <c r="G65" s="557"/>
      <c r="H65" s="96"/>
    </row>
    <row r="66" spans="1:11" ht="12.95" customHeight="1" x14ac:dyDescent="0.2">
      <c r="A66" s="6" t="s">
        <v>256</v>
      </c>
      <c r="D66" s="228"/>
      <c r="E66" s="228"/>
      <c r="F66" s="228"/>
      <c r="G66" s="228"/>
      <c r="H66" s="96"/>
      <c r="I66" s="96"/>
      <c r="J66" s="96"/>
      <c r="K66" s="96"/>
    </row>
    <row r="67" spans="1:11" s="238" customFormat="1" ht="44.1" customHeight="1" x14ac:dyDescent="0.25">
      <c r="A67" s="549" t="str">
        <f>"hind soojus = "&amp;TEXT(C53,"####0,00")&amp;" + "&amp;TEXT(C54,"####0,00000")&amp;" × hind "&amp;(LEFT('B. Algandmed'!D107,SEARCH(" ",'B. Algandmed'!D107,1))&amp;" + "&amp;TEXT(C55,"####0,00000")&amp;" × hind "&amp;LEFT('B. Algandmed'!D115,SEARCH(" ",'B. Algandmed'!D115,1))&amp;" + "&amp;TEXT(C56,"####0,00000")&amp;" × hind "&amp;LEFT('B. Algandmed'!D123,SEARCH(" ",'B. Algandmed'!D123,1))&amp;" + "&amp;TEXT(C57,"####0,00000")&amp;" × hind sisseostetud soojus1 + "&amp;TEXT(C58,"####0,00000")&amp;" × hind sisseostetud soojus2 + "&amp;TEXT(C59,"####0,00000")&amp;" × hind sisseostetud soojus3 + "&amp;TEXT(C60,"####0,00000")&amp;" × hind sisseostetud soojus4 + "&amp;TEXT(C61,"####0,00")&amp;" × hind elekter + järelevalvetasu, (€/MWh) ")</f>
        <v xml:space="preserve">hind soojus = 67,03 + 0,09521 × hind maagaas  + 1,22164 × hind hakkpuit  + 0,00000 × hind vali  + 0,00000 × hind sisseostetud soojus1 + 0,00000 × hind sisseostetud soojus2 + 0,00000 × hind sisseostetud soojus3 + 0,00000 × hind sisseostetud soojus4 + 17,18 × hind elekter + järelevalvetasu, (€/MWh) </v>
      </c>
      <c r="B67" s="549"/>
      <c r="C67" s="549"/>
      <c r="D67" s="549"/>
      <c r="E67" s="550" t="s">
        <v>597</v>
      </c>
      <c r="F67" s="550"/>
      <c r="G67" s="550"/>
      <c r="H67" s="237"/>
      <c r="I67" s="237"/>
      <c r="J67" s="237"/>
      <c r="K67" s="237"/>
    </row>
    <row r="68" spans="1:11" ht="12.95" customHeight="1" x14ac:dyDescent="0.25">
      <c r="H68" s="97"/>
      <c r="I68" s="97"/>
      <c r="J68" s="97"/>
      <c r="K68" s="97"/>
    </row>
    <row r="69" spans="1:11" ht="12.95" customHeight="1" x14ac:dyDescent="0.25">
      <c r="A69" s="96" t="s">
        <v>259</v>
      </c>
      <c r="B69" s="82"/>
      <c r="C69" s="82"/>
      <c r="D69" s="82"/>
      <c r="E69" s="82"/>
      <c r="F69" s="82"/>
      <c r="G69" s="83"/>
      <c r="H69" s="97"/>
      <c r="I69" s="97"/>
      <c r="J69" s="97"/>
      <c r="K69" s="97"/>
    </row>
    <row r="70" spans="1:11" ht="12.95" customHeight="1" x14ac:dyDescent="0.25">
      <c r="A70" s="82" t="s">
        <v>688</v>
      </c>
      <c r="B70" s="82"/>
      <c r="C70" s="82"/>
      <c r="D70" s="82"/>
      <c r="E70" s="82"/>
      <c r="F70" s="82"/>
      <c r="G70" s="96"/>
      <c r="H70" s="97"/>
      <c r="I70" s="97"/>
      <c r="J70" s="97"/>
      <c r="K70" s="97"/>
    </row>
    <row r="71" spans="1:11" ht="12.95" customHeight="1" x14ac:dyDescent="0.25">
      <c r="A71" s="82" t="s">
        <v>568</v>
      </c>
      <c r="B71" s="82"/>
      <c r="C71" s="82"/>
      <c r="D71" s="82"/>
      <c r="E71" s="82"/>
      <c r="F71" s="82"/>
      <c r="G71" s="96"/>
      <c r="H71" s="97"/>
      <c r="I71" s="97"/>
      <c r="J71" s="97"/>
      <c r="K71" s="97"/>
    </row>
    <row r="72" spans="1:11" ht="12.95" customHeight="1" x14ac:dyDescent="0.25">
      <c r="A72" s="82" t="s">
        <v>569</v>
      </c>
      <c r="B72" s="82"/>
      <c r="C72" s="82"/>
      <c r="D72" s="82"/>
      <c r="E72" s="82"/>
      <c r="F72" s="82"/>
      <c r="G72" s="138"/>
      <c r="H72" s="97"/>
      <c r="I72" s="97"/>
      <c r="J72" s="97"/>
      <c r="K72" s="97"/>
    </row>
    <row r="73" spans="1:11" ht="12.95" customHeight="1" x14ac:dyDescent="0.25">
      <c r="A73" s="82" t="s">
        <v>570</v>
      </c>
      <c r="B73" s="82"/>
      <c r="C73" s="82"/>
      <c r="D73" s="82"/>
      <c r="E73" s="82"/>
      <c r="F73" s="82"/>
      <c r="G73" s="83"/>
      <c r="H73" s="97"/>
      <c r="I73" s="97"/>
      <c r="J73" s="97"/>
      <c r="K73" s="97"/>
    </row>
    <row r="74" spans="1:11" ht="12.95" customHeight="1" x14ac:dyDescent="0.25">
      <c r="A74" s="82" t="s">
        <v>571</v>
      </c>
      <c r="B74" s="82"/>
      <c r="C74" s="82"/>
      <c r="D74" s="82"/>
      <c r="E74" s="82"/>
      <c r="F74" s="82"/>
      <c r="G74" s="83"/>
      <c r="H74" s="97"/>
      <c r="I74" s="97"/>
      <c r="J74" s="97"/>
      <c r="K74" s="97"/>
    </row>
    <row r="75" spans="1:11" ht="12.95" customHeight="1" x14ac:dyDescent="0.25">
      <c r="A75" s="82" t="s">
        <v>572</v>
      </c>
      <c r="B75" s="82"/>
      <c r="C75" s="82"/>
      <c r="D75" s="82"/>
      <c r="E75" s="82"/>
      <c r="F75" s="82"/>
      <c r="G75" s="83"/>
      <c r="H75" s="97"/>
      <c r="I75" s="97"/>
      <c r="J75" s="97"/>
      <c r="K75" s="97"/>
    </row>
    <row r="76" spans="1:11" ht="12.75" customHeight="1" x14ac:dyDescent="0.25">
      <c r="A76" s="82" t="s">
        <v>573</v>
      </c>
      <c r="B76" s="82"/>
      <c r="C76" s="82"/>
      <c r="D76" s="82"/>
      <c r="E76" s="82"/>
      <c r="F76" s="82"/>
      <c r="G76" s="83"/>
      <c r="H76" s="97"/>
      <c r="I76" s="97"/>
      <c r="J76" s="97"/>
      <c r="K76" s="97"/>
    </row>
    <row r="77" spans="1:11" x14ac:dyDescent="0.2">
      <c r="A77" s="82" t="s">
        <v>574</v>
      </c>
      <c r="B77" s="82"/>
      <c r="C77" s="82"/>
      <c r="D77" s="82"/>
      <c r="E77" s="82"/>
      <c r="F77" s="82"/>
      <c r="G77" s="83"/>
      <c r="H77" s="98"/>
      <c r="I77" s="98"/>
      <c r="J77" s="98"/>
      <c r="K77" s="98"/>
    </row>
    <row r="78" spans="1:11" x14ac:dyDescent="0.2">
      <c r="A78" s="82" t="s">
        <v>575</v>
      </c>
      <c r="B78" s="82"/>
      <c r="C78" s="82"/>
      <c r="D78" s="82"/>
      <c r="E78" s="82"/>
      <c r="F78" s="82"/>
      <c r="G78" s="83"/>
      <c r="H78" s="82"/>
      <c r="I78" s="82"/>
      <c r="J78" s="82"/>
      <c r="K78" s="82"/>
    </row>
    <row r="79" spans="1:11" x14ac:dyDescent="0.2">
      <c r="A79" s="82" t="s">
        <v>576</v>
      </c>
      <c r="B79" s="82"/>
      <c r="C79" s="82"/>
      <c r="D79" s="82"/>
      <c r="E79" s="82"/>
      <c r="F79" s="82"/>
      <c r="G79" s="83"/>
      <c r="H79" s="82"/>
      <c r="I79" s="82"/>
      <c r="J79" s="82"/>
      <c r="K79" s="82"/>
    </row>
    <row r="80" spans="1:11" x14ac:dyDescent="0.2">
      <c r="A80" s="82" t="s">
        <v>577</v>
      </c>
      <c r="B80" s="82"/>
      <c r="C80" s="82"/>
      <c r="D80" s="82"/>
      <c r="E80" s="82"/>
      <c r="F80" s="82"/>
      <c r="G80" s="83"/>
      <c r="H80" s="82"/>
      <c r="I80" s="82"/>
      <c r="J80" s="82"/>
      <c r="K80" s="82"/>
    </row>
    <row r="81" spans="1:11" ht="12.75" customHeight="1" x14ac:dyDescent="0.2">
      <c r="A81" s="82" t="s">
        <v>260</v>
      </c>
      <c r="B81" s="82"/>
      <c r="C81" s="82"/>
      <c r="D81" s="82"/>
      <c r="E81" s="82"/>
      <c r="F81" s="82"/>
      <c r="G81" s="83"/>
      <c r="H81" s="102"/>
      <c r="I81" s="102"/>
      <c r="J81" s="102"/>
      <c r="K81" s="102"/>
    </row>
    <row r="82" spans="1:11" ht="15.75" x14ac:dyDescent="0.2">
      <c r="A82" s="96"/>
      <c r="B82" s="82"/>
      <c r="C82" s="82"/>
      <c r="D82" s="82"/>
      <c r="E82" s="82"/>
      <c r="F82" s="82"/>
      <c r="G82" s="83"/>
      <c r="H82" s="102"/>
      <c r="I82" s="102"/>
      <c r="J82" s="102"/>
      <c r="K82" s="102"/>
    </row>
    <row r="83" spans="1:11" ht="15.75" x14ac:dyDescent="0.2">
      <c r="A83" s="82" t="s">
        <v>379</v>
      </c>
      <c r="B83" s="82"/>
      <c r="C83" s="82"/>
      <c r="D83" s="82"/>
      <c r="E83" s="82"/>
      <c r="F83" s="82"/>
      <c r="G83" s="83"/>
      <c r="H83" s="102"/>
      <c r="I83" s="102"/>
      <c r="J83" s="102"/>
      <c r="K83" s="102"/>
    </row>
    <row r="84" spans="1:11" ht="15.75" x14ac:dyDescent="0.25">
      <c r="A84" s="552">
        <v>46213</v>
      </c>
      <c r="B84" s="551"/>
      <c r="C84" s="551"/>
      <c r="D84" s="551"/>
      <c r="E84" s="551"/>
      <c r="F84" s="205"/>
      <c r="G84" s="83"/>
      <c r="H84" s="102"/>
      <c r="I84" s="102"/>
      <c r="J84" s="102"/>
      <c r="K84" s="102"/>
    </row>
    <row r="85" spans="1:11" ht="15.75" x14ac:dyDescent="0.2">
      <c r="A85" s="87" t="s">
        <v>257</v>
      </c>
      <c r="B85" s="98"/>
      <c r="C85" s="98"/>
      <c r="D85" s="98"/>
      <c r="E85" s="98"/>
      <c r="F85" s="98"/>
      <c r="G85" s="82"/>
      <c r="H85" s="100"/>
      <c r="I85" s="100"/>
      <c r="J85" s="100"/>
      <c r="K85" s="100"/>
    </row>
    <row r="86" spans="1:11" ht="15.75" x14ac:dyDescent="0.25">
      <c r="A86" s="551" t="s">
        <v>857</v>
      </c>
      <c r="B86" s="551"/>
      <c r="C86" s="551"/>
      <c r="D86" s="551"/>
      <c r="E86" s="551"/>
      <c r="F86" s="205"/>
      <c r="G86" s="101"/>
      <c r="H86" s="82"/>
      <c r="I86" s="82"/>
      <c r="J86" s="82"/>
      <c r="K86" s="82"/>
    </row>
    <row r="87" spans="1:11" ht="15.75" x14ac:dyDescent="0.2">
      <c r="A87" s="87" t="s">
        <v>258</v>
      </c>
      <c r="B87" s="99"/>
      <c r="C87" s="99"/>
      <c r="D87" s="99"/>
      <c r="E87" s="99"/>
      <c r="F87" s="99"/>
      <c r="G87" s="102"/>
    </row>
    <row r="88" spans="1:11" ht="15.75" x14ac:dyDescent="0.25">
      <c r="A88" s="137" t="s">
        <v>858</v>
      </c>
      <c r="B88" s="137"/>
      <c r="C88" s="137"/>
      <c r="D88" s="137"/>
      <c r="E88" s="137"/>
      <c r="F88" s="137"/>
      <c r="G88" s="95"/>
    </row>
    <row r="89" spans="1:11" ht="15.75" x14ac:dyDescent="0.2">
      <c r="A89" s="95" t="s">
        <v>565</v>
      </c>
      <c r="B89" s="99"/>
      <c r="C89" s="99"/>
      <c r="D89" s="99"/>
      <c r="E89" s="99"/>
      <c r="F89" s="99"/>
      <c r="G89" s="100"/>
    </row>
    <row r="90" spans="1:11" ht="15.75" x14ac:dyDescent="0.2">
      <c r="A90" s="82"/>
      <c r="B90" s="99"/>
      <c r="C90" s="99"/>
      <c r="D90" s="99"/>
      <c r="E90" s="99"/>
      <c r="F90" s="99"/>
    </row>
    <row r="91" spans="1:11" x14ac:dyDescent="0.2">
      <c r="A91" s="82"/>
    </row>
    <row r="92" spans="1:11" x14ac:dyDescent="0.2">
      <c r="A92" s="105"/>
    </row>
  </sheetData>
  <mergeCells count="14">
    <mergeCell ref="A67:D67"/>
    <mergeCell ref="E67:G67"/>
    <mergeCell ref="A86:E86"/>
    <mergeCell ref="A84:E84"/>
    <mergeCell ref="B5:G5"/>
    <mergeCell ref="A63:A64"/>
    <mergeCell ref="A16:A17"/>
    <mergeCell ref="D64:G65"/>
    <mergeCell ref="D6:G6"/>
    <mergeCell ref="D7:E7"/>
    <mergeCell ref="F7:G7"/>
    <mergeCell ref="A50:G50"/>
    <mergeCell ref="A51:C51"/>
    <mergeCell ref="A45:A4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eht1">
    <pageSetUpPr fitToPage="1"/>
  </sheetPr>
  <dimension ref="A1:BB175"/>
  <sheetViews>
    <sheetView topLeftCell="A3" zoomScaleNormal="100" workbookViewId="0">
      <selection activeCell="G30" sqref="G30"/>
    </sheetView>
  </sheetViews>
  <sheetFormatPr defaultColWidth="9" defaultRowHeight="12.75" outlineLevelRow="1" x14ac:dyDescent="0.2"/>
  <cols>
    <col min="1" max="1" width="7" style="16" customWidth="1"/>
    <col min="2" max="2" width="50.25" style="6" customWidth="1"/>
    <col min="3" max="3" width="11.875" style="9" customWidth="1"/>
    <col min="4" max="8" width="11.875" style="7" customWidth="1"/>
    <col min="9" max="9" width="9.75" style="418" customWidth="1"/>
    <col min="10" max="10" width="6.125" style="418" customWidth="1"/>
    <col min="11" max="19" width="9" style="418"/>
    <col min="20" max="20" width="9" style="418" customWidth="1"/>
    <col min="21" max="21" width="9.125" style="425" customWidth="1"/>
    <col min="22" max="54" width="9" style="418"/>
    <col min="55" max="16384" width="9" style="6"/>
  </cols>
  <sheetData>
    <row r="1" spans="1:54" x14ac:dyDescent="0.2">
      <c r="B1" s="127"/>
    </row>
    <row r="2" spans="1:54" ht="15.75" x14ac:dyDescent="0.25">
      <c r="B2" s="118" t="s">
        <v>45</v>
      </c>
      <c r="C2" s="626" t="str">
        <f>IF('A. Üldandmed'!B12=0," ",'A. Üldandmed'!B12)</f>
        <v>Lähte</v>
      </c>
      <c r="D2" s="626"/>
      <c r="E2" s="626"/>
      <c r="F2" s="626"/>
      <c r="G2" s="626"/>
      <c r="H2" s="626"/>
      <c r="I2" s="243" t="s">
        <v>549</v>
      </c>
    </row>
    <row r="3" spans="1:54" ht="15" x14ac:dyDescent="0.25">
      <c r="B3" s="118" t="s">
        <v>578</v>
      </c>
      <c r="C3" s="627" t="s">
        <v>330</v>
      </c>
      <c r="D3" s="627"/>
      <c r="E3" s="431">
        <v>46023</v>
      </c>
      <c r="F3" s="628" t="s">
        <v>325</v>
      </c>
      <c r="G3" s="628"/>
      <c r="H3" s="432">
        <v>46387</v>
      </c>
      <c r="I3" s="418" t="str">
        <f>IF(363&lt;H3-E3,IF(H3-E3&lt;366,"OK!","Aasta üle 365 päeva!"),"Aasta alla 365 päeva!")</f>
        <v>OK!</v>
      </c>
    </row>
    <row r="4" spans="1:54" ht="15" x14ac:dyDescent="0.25">
      <c r="B4" s="118"/>
      <c r="C4" s="119"/>
      <c r="D4" s="119"/>
      <c r="E4" s="120"/>
      <c r="F4" s="121"/>
      <c r="G4" s="121"/>
      <c r="H4" s="122"/>
    </row>
    <row r="5" spans="1:54" s="8" customFormat="1" ht="30" customHeight="1" x14ac:dyDescent="0.25">
      <c r="A5" s="17" t="s">
        <v>177</v>
      </c>
      <c r="B5" s="3" t="s">
        <v>22</v>
      </c>
      <c r="C5" s="10" t="s">
        <v>0</v>
      </c>
      <c r="D5" s="11" t="s">
        <v>345</v>
      </c>
      <c r="E5" s="11" t="s">
        <v>346</v>
      </c>
      <c r="F5" s="11" t="s">
        <v>347</v>
      </c>
      <c r="G5" s="11" t="s">
        <v>329</v>
      </c>
      <c r="H5" s="11" t="s">
        <v>348</v>
      </c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72"/>
      <c r="V5" s="419"/>
      <c r="W5" s="419"/>
      <c r="X5" s="419"/>
      <c r="Y5" s="419"/>
      <c r="Z5" s="419"/>
      <c r="AA5" s="419"/>
      <c r="AB5" s="419"/>
      <c r="AC5" s="419"/>
      <c r="AD5" s="419"/>
      <c r="AE5" s="419"/>
      <c r="AF5" s="419"/>
      <c r="AG5" s="419"/>
      <c r="AH5" s="419"/>
      <c r="AI5" s="419"/>
      <c r="AJ5" s="419"/>
      <c r="AK5" s="419"/>
      <c r="AL5" s="419"/>
      <c r="AM5" s="419"/>
      <c r="AN5" s="419"/>
      <c r="AO5" s="419"/>
      <c r="AP5" s="419"/>
      <c r="AQ5" s="419"/>
      <c r="AR5" s="419"/>
      <c r="AS5" s="419"/>
      <c r="AT5" s="419"/>
      <c r="AU5" s="419"/>
      <c r="AV5" s="419"/>
      <c r="AW5" s="419"/>
      <c r="AX5" s="419"/>
      <c r="AY5" s="419"/>
      <c r="AZ5" s="419"/>
      <c r="BA5" s="419"/>
      <c r="BB5" s="419"/>
    </row>
    <row r="6" spans="1:54" ht="15.95" customHeight="1" x14ac:dyDescent="0.2">
      <c r="A6" s="12"/>
      <c r="B6" s="24" t="s">
        <v>329</v>
      </c>
      <c r="C6" s="12" t="s">
        <v>46</v>
      </c>
      <c r="D6" s="128" t="str">
        <f>IF( MONTH(H3)=12,TEXT(YEAR(H3)-3,"####"),TEXT(YEAR(E3)-3,"####")&amp;" / "&amp;TEXT(YEAR(H3)-3,"####"))</f>
        <v>2023</v>
      </c>
      <c r="E6" s="128" t="str">
        <f>IF( MONTH(H3)=12,TEXT(YEAR(H3)-2,"####"),TEXT(YEAR(E3)-2,"####")&amp;" / "&amp;TEXT(YEAR(H3)-2,"####"))</f>
        <v>2024</v>
      </c>
      <c r="F6" s="128" t="str">
        <f>IF( MONTH(H3)=12,TEXT(YEAR(H3)-1,"####"),TEXT(YEAR(E3)-1,"####")&amp;" / "&amp;TEXT(YEAR(H3)-1,"####"))</f>
        <v>2025</v>
      </c>
      <c r="G6" s="128" t="str">
        <f>IF( MONTH(H3)=12,TEXT(YEAR(H3),"####"),TEXT(YEAR(E3),"####")&amp;" / "&amp;TEXT(YEAR(H3),"####"))</f>
        <v>2026</v>
      </c>
      <c r="H6" s="129" t="str">
        <f>IF( MONTH(H3)=12,TEXT(YEAR(H3)+1,"####"),TEXT(YEAR(H3),"####")&amp;" / "&amp;TEXT(YEAR(H3)+1,"####"))</f>
        <v>2027</v>
      </c>
      <c r="U6" s="425" t="s">
        <v>515</v>
      </c>
    </row>
    <row r="7" spans="1:54" x14ac:dyDescent="0.2">
      <c r="A7" s="609"/>
      <c r="B7" s="609"/>
      <c r="C7" s="609"/>
      <c r="D7" s="609"/>
      <c r="E7" s="609"/>
      <c r="F7" s="609"/>
      <c r="G7" s="609"/>
      <c r="H7" s="609"/>
      <c r="U7" s="425" t="s">
        <v>812</v>
      </c>
    </row>
    <row r="8" spans="1:54" s="131" customFormat="1" ht="14.25" x14ac:dyDescent="0.2">
      <c r="A8" s="187">
        <v>1</v>
      </c>
      <c r="B8" s="633" t="s">
        <v>47</v>
      </c>
      <c r="C8" s="634"/>
      <c r="D8" s="634"/>
      <c r="E8" s="634"/>
      <c r="F8" s="634"/>
      <c r="G8" s="634"/>
      <c r="H8" s="635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5" t="s">
        <v>813</v>
      </c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0"/>
      <c r="BA8" s="420"/>
      <c r="BB8" s="420"/>
    </row>
    <row r="9" spans="1:54" x14ac:dyDescent="0.2">
      <c r="A9" s="22" t="s">
        <v>48</v>
      </c>
      <c r="B9" s="20" t="s">
        <v>521</v>
      </c>
      <c r="C9" s="623" t="s">
        <v>837</v>
      </c>
      <c r="D9" s="624"/>
      <c r="E9" s="624"/>
      <c r="F9" s="624"/>
      <c r="G9" s="624"/>
      <c r="H9" s="625"/>
      <c r="U9" s="425" t="s">
        <v>814</v>
      </c>
    </row>
    <row r="10" spans="1:54" x14ac:dyDescent="0.2">
      <c r="A10" s="22" t="s">
        <v>49</v>
      </c>
      <c r="B10" s="481" t="s">
        <v>790</v>
      </c>
      <c r="C10" s="623" t="s">
        <v>838</v>
      </c>
      <c r="D10" s="624"/>
      <c r="E10" s="624"/>
      <c r="F10" s="624"/>
      <c r="G10" s="624"/>
      <c r="H10" s="625"/>
      <c r="U10" s="425" t="s">
        <v>815</v>
      </c>
    </row>
    <row r="11" spans="1:54" x14ac:dyDescent="0.2">
      <c r="A11" s="22" t="s">
        <v>50</v>
      </c>
      <c r="B11" s="489" t="s">
        <v>788</v>
      </c>
      <c r="C11" s="12" t="s">
        <v>46</v>
      </c>
      <c r="D11" s="605" t="s">
        <v>814</v>
      </c>
      <c r="E11" s="606"/>
      <c r="F11" s="606"/>
      <c r="G11" s="606"/>
      <c r="H11" s="607"/>
      <c r="U11" s="425" t="s">
        <v>816</v>
      </c>
    </row>
    <row r="12" spans="1:54" x14ac:dyDescent="0.2">
      <c r="A12" s="22" t="s">
        <v>51</v>
      </c>
      <c r="B12" s="489" t="s">
        <v>789</v>
      </c>
      <c r="C12" s="12" t="s">
        <v>13</v>
      </c>
      <c r="D12" s="353">
        <v>0.64</v>
      </c>
      <c r="E12" s="353">
        <v>0.6</v>
      </c>
      <c r="F12" s="353">
        <v>0.64</v>
      </c>
      <c r="G12" s="353">
        <v>0</v>
      </c>
      <c r="H12" s="353">
        <v>0</v>
      </c>
      <c r="I12" s="123"/>
      <c r="U12" s="425" t="s">
        <v>817</v>
      </c>
    </row>
    <row r="13" spans="1:54" x14ac:dyDescent="0.2">
      <c r="A13" s="22" t="s">
        <v>441</v>
      </c>
      <c r="B13" s="13" t="s">
        <v>101</v>
      </c>
      <c r="C13" s="512" t="s">
        <v>859</v>
      </c>
      <c r="D13" s="188">
        <v>332.892</v>
      </c>
      <c r="E13" s="188">
        <v>311.39699999999999</v>
      </c>
      <c r="F13" s="188">
        <v>181.69300000000001</v>
      </c>
      <c r="G13" s="188">
        <v>0</v>
      </c>
      <c r="H13" s="188">
        <v>0</v>
      </c>
      <c r="I13" s="123"/>
      <c r="U13" s="425" t="s">
        <v>818</v>
      </c>
    </row>
    <row r="14" spans="1:54" x14ac:dyDescent="0.2">
      <c r="A14" s="22" t="s">
        <v>442</v>
      </c>
      <c r="B14" s="13" t="s">
        <v>439</v>
      </c>
      <c r="C14" s="200" t="str">
        <f>"MWh/"&amp;C13</f>
        <v>MWh/tuh m3</v>
      </c>
      <c r="D14" s="58">
        <v>9.67</v>
      </c>
      <c r="E14" s="58">
        <v>9.76</v>
      </c>
      <c r="F14" s="58">
        <v>9.68</v>
      </c>
      <c r="G14" s="58">
        <v>0</v>
      </c>
      <c r="H14" s="58">
        <v>0</v>
      </c>
      <c r="I14" s="123"/>
      <c r="U14" s="425" t="s">
        <v>797</v>
      </c>
    </row>
    <row r="15" spans="1:54" x14ac:dyDescent="0.2">
      <c r="A15" s="22" t="s">
        <v>443</v>
      </c>
      <c r="B15" s="13" t="s">
        <v>440</v>
      </c>
      <c r="C15" s="12" t="s">
        <v>1</v>
      </c>
      <c r="D15" s="62">
        <f>D13*D14</f>
        <v>3219.0656399999998</v>
      </c>
      <c r="E15" s="62">
        <f>E13*E14</f>
        <v>3039.2347199999999</v>
      </c>
      <c r="F15" s="62">
        <f>F13*F14</f>
        <v>1758.7882400000001</v>
      </c>
      <c r="G15" s="62">
        <f>G13*G14</f>
        <v>0</v>
      </c>
      <c r="H15" s="62">
        <f>H13*H14</f>
        <v>0</v>
      </c>
      <c r="I15" s="123"/>
      <c r="U15" s="425" t="s">
        <v>826</v>
      </c>
    </row>
    <row r="16" spans="1:54" x14ac:dyDescent="0.2">
      <c r="A16" s="22" t="s">
        <v>444</v>
      </c>
      <c r="B16" s="13" t="s">
        <v>102</v>
      </c>
      <c r="C16" s="12" t="s">
        <v>1</v>
      </c>
      <c r="D16" s="103">
        <v>3055</v>
      </c>
      <c r="E16" s="103">
        <v>2958.1</v>
      </c>
      <c r="F16" s="103">
        <v>1624.1</v>
      </c>
      <c r="G16" s="103">
        <v>0</v>
      </c>
      <c r="H16" s="103">
        <v>0</v>
      </c>
      <c r="I16" s="123"/>
      <c r="U16" s="425" t="s">
        <v>825</v>
      </c>
    </row>
    <row r="17" spans="1:21" x14ac:dyDescent="0.2">
      <c r="A17" s="22" t="s">
        <v>445</v>
      </c>
      <c r="B17" s="13" t="s">
        <v>262</v>
      </c>
      <c r="C17" s="12" t="s">
        <v>2</v>
      </c>
      <c r="D17" s="104">
        <f>IF(D15=0,0,D16/D15*100)</f>
        <v>94.903314863750339</v>
      </c>
      <c r="E17" s="104">
        <f>IF(E15=0,0,E16/E15*100)</f>
        <v>97.330422705884317</v>
      </c>
      <c r="F17" s="104">
        <f>IF(F15=0,0,F16/F15*100)</f>
        <v>92.341986548647824</v>
      </c>
      <c r="G17" s="104">
        <f>IF(G15=0,0,G16/G15*100)</f>
        <v>0</v>
      </c>
      <c r="H17" s="104">
        <f>IF(H15=0,0,H16/H15*100)</f>
        <v>0</v>
      </c>
      <c r="I17" s="123"/>
      <c r="J17" s="420"/>
      <c r="O17" s="123"/>
      <c r="U17" s="425" t="s">
        <v>824</v>
      </c>
    </row>
    <row r="18" spans="1:21" x14ac:dyDescent="0.2">
      <c r="A18" s="629"/>
      <c r="B18" s="629"/>
      <c r="C18" s="629"/>
      <c r="D18" s="629"/>
      <c r="E18" s="629"/>
      <c r="F18" s="629"/>
      <c r="G18" s="629"/>
      <c r="H18" s="629"/>
      <c r="U18" s="425" t="s">
        <v>823</v>
      </c>
    </row>
    <row r="19" spans="1:21" x14ac:dyDescent="0.2">
      <c r="A19" s="22" t="s">
        <v>53</v>
      </c>
      <c r="B19" s="481" t="s">
        <v>791</v>
      </c>
      <c r="C19" s="623" t="s">
        <v>838</v>
      </c>
      <c r="D19" s="624"/>
      <c r="E19" s="624"/>
      <c r="F19" s="624"/>
      <c r="G19" s="624"/>
      <c r="H19" s="625"/>
      <c r="U19" s="425" t="s">
        <v>822</v>
      </c>
    </row>
    <row r="20" spans="1:21" x14ac:dyDescent="0.2">
      <c r="A20" s="22" t="s">
        <v>54</v>
      </c>
      <c r="B20" s="489" t="s">
        <v>788</v>
      </c>
      <c r="C20" s="12" t="s">
        <v>46</v>
      </c>
      <c r="D20" s="605" t="s">
        <v>814</v>
      </c>
      <c r="E20" s="606"/>
      <c r="F20" s="606"/>
      <c r="G20" s="606"/>
      <c r="H20" s="607"/>
      <c r="U20" s="425" t="s">
        <v>821</v>
      </c>
    </row>
    <row r="21" spans="1:21" x14ac:dyDescent="0.2">
      <c r="A21" s="22" t="s">
        <v>55</v>
      </c>
      <c r="B21" s="489" t="s">
        <v>789</v>
      </c>
      <c r="C21" s="12" t="s">
        <v>13</v>
      </c>
      <c r="D21" s="353">
        <v>0.64</v>
      </c>
      <c r="E21" s="353">
        <v>0.64</v>
      </c>
      <c r="F21" s="353">
        <v>0.64</v>
      </c>
      <c r="G21" s="353">
        <v>0</v>
      </c>
      <c r="H21" s="353">
        <v>0</v>
      </c>
      <c r="I21" s="123"/>
      <c r="U21" s="425" t="s">
        <v>798</v>
      </c>
    </row>
    <row r="22" spans="1:21" x14ac:dyDescent="0.2">
      <c r="A22" s="22" t="s">
        <v>446</v>
      </c>
      <c r="B22" s="13" t="s">
        <v>101</v>
      </c>
      <c r="C22" s="512" t="s">
        <v>859</v>
      </c>
      <c r="D22" s="188"/>
      <c r="E22" s="188"/>
      <c r="F22" s="188"/>
      <c r="G22" s="188"/>
      <c r="H22" s="188"/>
      <c r="I22" s="123"/>
      <c r="U22" s="425" t="s">
        <v>799</v>
      </c>
    </row>
    <row r="23" spans="1:21" x14ac:dyDescent="0.2">
      <c r="A23" s="22" t="s">
        <v>447</v>
      </c>
      <c r="B23" s="13" t="s">
        <v>439</v>
      </c>
      <c r="C23" s="200" t="str">
        <f>"MWh/"&amp;C22</f>
        <v>MWh/tuh m3</v>
      </c>
      <c r="D23" s="58"/>
      <c r="E23" s="58"/>
      <c r="F23" s="58"/>
      <c r="G23" s="58"/>
      <c r="H23" s="58"/>
      <c r="I23" s="123"/>
      <c r="U23" s="425" t="s">
        <v>820</v>
      </c>
    </row>
    <row r="24" spans="1:21" x14ac:dyDescent="0.2">
      <c r="A24" s="22" t="s">
        <v>448</v>
      </c>
      <c r="B24" s="13" t="s">
        <v>440</v>
      </c>
      <c r="C24" s="12" t="s">
        <v>1</v>
      </c>
      <c r="D24" s="62">
        <f>D22*D23</f>
        <v>0</v>
      </c>
      <c r="E24" s="62">
        <f>E22*E23</f>
        <v>0</v>
      </c>
      <c r="F24" s="62">
        <f>F22*F23</f>
        <v>0</v>
      </c>
      <c r="G24" s="62">
        <f>G22*G23</f>
        <v>0</v>
      </c>
      <c r="H24" s="62">
        <f>H22*H23</f>
        <v>0</v>
      </c>
      <c r="I24" s="123"/>
      <c r="U24" s="425" t="s">
        <v>819</v>
      </c>
    </row>
    <row r="25" spans="1:21" x14ac:dyDescent="0.2">
      <c r="A25" s="22" t="s">
        <v>449</v>
      </c>
      <c r="B25" s="13" t="s">
        <v>102</v>
      </c>
      <c r="C25" s="12" t="s">
        <v>1</v>
      </c>
      <c r="D25" s="103"/>
      <c r="E25" s="103"/>
      <c r="F25" s="103"/>
      <c r="G25" s="103"/>
      <c r="H25" s="103"/>
      <c r="I25" s="123"/>
    </row>
    <row r="26" spans="1:21" x14ac:dyDescent="0.2">
      <c r="A26" s="22" t="s">
        <v>450</v>
      </c>
      <c r="B26" s="13" t="s">
        <v>262</v>
      </c>
      <c r="C26" s="12" t="s">
        <v>2</v>
      </c>
      <c r="D26" s="189">
        <f>IF(D24=0,0,D25/D24*100)</f>
        <v>0</v>
      </c>
      <c r="E26" s="189">
        <f>IF(E24=0,0,E25/E24*100)</f>
        <v>0</v>
      </c>
      <c r="F26" s="189">
        <f>IF(F24=0,0,F25/F24*100)</f>
        <v>0</v>
      </c>
      <c r="G26" s="189">
        <f>IF(G24=0,0,G25/G24*100)</f>
        <v>0</v>
      </c>
      <c r="H26" s="189">
        <f>IF(H24=0,0,H25/H24*100)</f>
        <v>0</v>
      </c>
      <c r="I26" s="123"/>
    </row>
    <row r="27" spans="1:21" x14ac:dyDescent="0.2">
      <c r="A27" s="609"/>
      <c r="B27" s="609"/>
      <c r="C27" s="609"/>
      <c r="D27" s="609"/>
      <c r="E27" s="609"/>
      <c r="F27" s="609"/>
      <c r="G27" s="609"/>
      <c r="H27" s="609"/>
    </row>
    <row r="28" spans="1:21" x14ac:dyDescent="0.2">
      <c r="A28" s="22" t="s">
        <v>56</v>
      </c>
      <c r="B28" s="481" t="s">
        <v>792</v>
      </c>
      <c r="C28" s="630" t="s">
        <v>839</v>
      </c>
      <c r="D28" s="631"/>
      <c r="E28" s="631"/>
      <c r="F28" s="631"/>
      <c r="G28" s="631"/>
      <c r="H28" s="632"/>
    </row>
    <row r="29" spans="1:21" outlineLevel="1" x14ac:dyDescent="0.2">
      <c r="A29" s="22" t="s">
        <v>57</v>
      </c>
      <c r="B29" s="489" t="s">
        <v>788</v>
      </c>
      <c r="C29" s="12" t="s">
        <v>46</v>
      </c>
      <c r="D29" s="605" t="s">
        <v>814</v>
      </c>
      <c r="E29" s="606"/>
      <c r="F29" s="606"/>
      <c r="G29" s="606"/>
      <c r="H29" s="607"/>
    </row>
    <row r="30" spans="1:21" outlineLevel="1" x14ac:dyDescent="0.2">
      <c r="A30" s="22" t="s">
        <v>58</v>
      </c>
      <c r="B30" s="489" t="s">
        <v>789</v>
      </c>
      <c r="C30" s="12" t="s">
        <v>13</v>
      </c>
      <c r="D30" s="353">
        <v>0</v>
      </c>
      <c r="E30" s="353">
        <v>0</v>
      </c>
      <c r="F30" s="353">
        <v>1</v>
      </c>
      <c r="G30" s="353">
        <v>1</v>
      </c>
      <c r="H30" s="353">
        <v>1</v>
      </c>
      <c r="I30" s="123"/>
    </row>
    <row r="31" spans="1:21" outlineLevel="1" x14ac:dyDescent="0.2">
      <c r="A31" s="22" t="s">
        <v>451</v>
      </c>
      <c r="B31" s="13" t="s">
        <v>101</v>
      </c>
      <c r="C31" s="512" t="s">
        <v>859</v>
      </c>
      <c r="D31" s="188">
        <v>0</v>
      </c>
      <c r="E31" s="188">
        <v>0</v>
      </c>
      <c r="F31" s="188">
        <v>48.3</v>
      </c>
      <c r="G31" s="188">
        <v>30</v>
      </c>
      <c r="H31" s="188">
        <v>30</v>
      </c>
      <c r="I31" s="123"/>
    </row>
    <row r="32" spans="1:21" outlineLevel="1" x14ac:dyDescent="0.2">
      <c r="A32" s="22" t="s">
        <v>452</v>
      </c>
      <c r="B32" s="13" t="s">
        <v>439</v>
      </c>
      <c r="C32" s="200" t="str">
        <f>"MWh/"&amp;C31</f>
        <v>MWh/tuh m3</v>
      </c>
      <c r="D32" s="58"/>
      <c r="E32" s="58"/>
      <c r="F32" s="58">
        <v>9.68</v>
      </c>
      <c r="G32" s="58">
        <v>9.68</v>
      </c>
      <c r="H32" s="58">
        <v>9.68</v>
      </c>
      <c r="I32" s="123"/>
    </row>
    <row r="33" spans="1:12" outlineLevel="1" x14ac:dyDescent="0.2">
      <c r="A33" s="22" t="s">
        <v>453</v>
      </c>
      <c r="B33" s="13" t="s">
        <v>440</v>
      </c>
      <c r="C33" s="12" t="s">
        <v>1</v>
      </c>
      <c r="D33" s="62">
        <f>D31*D32</f>
        <v>0</v>
      </c>
      <c r="E33" s="62">
        <f>E31*E32</f>
        <v>0</v>
      </c>
      <c r="F33" s="62">
        <f>F31*F32</f>
        <v>467.54399999999998</v>
      </c>
      <c r="G33" s="62">
        <f>G31*G32</f>
        <v>290.39999999999998</v>
      </c>
      <c r="H33" s="62">
        <f>H31*H32</f>
        <v>290.39999999999998</v>
      </c>
      <c r="I33" s="123"/>
    </row>
    <row r="34" spans="1:12" outlineLevel="1" x14ac:dyDescent="0.2">
      <c r="A34" s="22" t="s">
        <v>454</v>
      </c>
      <c r="B34" s="13" t="s">
        <v>102</v>
      </c>
      <c r="C34" s="12" t="s">
        <v>1</v>
      </c>
      <c r="D34" s="103"/>
      <c r="E34" s="103"/>
      <c r="F34" s="103">
        <v>444.4</v>
      </c>
      <c r="G34" s="103">
        <v>283</v>
      </c>
      <c r="H34" s="103">
        <v>283</v>
      </c>
      <c r="I34" s="123"/>
    </row>
    <row r="35" spans="1:12" outlineLevel="1" x14ac:dyDescent="0.2">
      <c r="A35" s="22" t="s">
        <v>455</v>
      </c>
      <c r="B35" s="13" t="s">
        <v>262</v>
      </c>
      <c r="C35" s="12" t="s">
        <v>2</v>
      </c>
      <c r="D35" s="189">
        <f>IF(D33=0,0,D34/D33*100)</f>
        <v>0</v>
      </c>
      <c r="E35" s="189">
        <f>IF(E33=0,0,E34/E33*100)</f>
        <v>0</v>
      </c>
      <c r="F35" s="189">
        <f>IF(F33=0,0,F34/F33*100)</f>
        <v>95.049877658573308</v>
      </c>
      <c r="G35" s="189">
        <f>IF(G33=0,0,G34/G33*100)</f>
        <v>97.451790633608823</v>
      </c>
      <c r="H35" s="189">
        <f>IF(H33=0,0,H34/H33*100)</f>
        <v>97.451790633608823</v>
      </c>
      <c r="I35" s="123"/>
      <c r="L35" s="498"/>
    </row>
    <row r="36" spans="1:12" outlineLevel="1" x14ac:dyDescent="0.2">
      <c r="A36" s="609"/>
      <c r="B36" s="609"/>
      <c r="C36" s="609"/>
      <c r="D36" s="609"/>
      <c r="E36" s="609"/>
      <c r="F36" s="609"/>
      <c r="G36" s="609"/>
      <c r="H36" s="609"/>
    </row>
    <row r="37" spans="1:12" outlineLevel="1" x14ac:dyDescent="0.2">
      <c r="A37" s="22" t="s">
        <v>59</v>
      </c>
      <c r="B37" s="481" t="s">
        <v>793</v>
      </c>
      <c r="C37" s="623" t="s">
        <v>840</v>
      </c>
      <c r="D37" s="624"/>
      <c r="E37" s="624"/>
      <c r="F37" s="624"/>
      <c r="G37" s="624"/>
      <c r="H37" s="625"/>
    </row>
    <row r="38" spans="1:12" outlineLevel="1" x14ac:dyDescent="0.2">
      <c r="A38" s="22" t="s">
        <v>60</v>
      </c>
      <c r="B38" s="489" t="s">
        <v>788</v>
      </c>
      <c r="C38" s="12" t="s">
        <v>46</v>
      </c>
      <c r="D38" s="605" t="s">
        <v>812</v>
      </c>
      <c r="E38" s="606"/>
      <c r="F38" s="606"/>
      <c r="G38" s="606"/>
      <c r="H38" s="607"/>
      <c r="I38" s="501" t="s">
        <v>841</v>
      </c>
    </row>
    <row r="39" spans="1:12" outlineLevel="1" x14ac:dyDescent="0.2">
      <c r="A39" s="22" t="s">
        <v>61</v>
      </c>
      <c r="B39" s="489" t="s">
        <v>789</v>
      </c>
      <c r="C39" s="12" t="s">
        <v>13</v>
      </c>
      <c r="D39" s="353">
        <v>0</v>
      </c>
      <c r="E39" s="353">
        <v>0</v>
      </c>
      <c r="F39" s="21">
        <v>0.85</v>
      </c>
      <c r="G39" s="21">
        <v>0.85</v>
      </c>
      <c r="H39" s="21">
        <v>0.85</v>
      </c>
      <c r="I39" s="123"/>
    </row>
    <row r="40" spans="1:12" outlineLevel="1" x14ac:dyDescent="0.2">
      <c r="A40" s="22" t="s">
        <v>456</v>
      </c>
      <c r="B40" s="13" t="s">
        <v>101</v>
      </c>
      <c r="C40" s="512" t="s">
        <v>860</v>
      </c>
      <c r="D40" s="188">
        <v>0</v>
      </c>
      <c r="E40" s="188">
        <v>0</v>
      </c>
      <c r="F40" s="188">
        <v>1220</v>
      </c>
      <c r="G40" s="188">
        <v>4600</v>
      </c>
      <c r="H40" s="188">
        <v>4600</v>
      </c>
      <c r="I40" s="123"/>
    </row>
    <row r="41" spans="1:12" outlineLevel="1" x14ac:dyDescent="0.2">
      <c r="A41" s="22" t="s">
        <v>457</v>
      </c>
      <c r="B41" s="13" t="s">
        <v>439</v>
      </c>
      <c r="C41" s="200" t="str">
        <f>"MWh/"&amp;C40</f>
        <v>MWh/pm3</v>
      </c>
      <c r="D41" s="58">
        <v>0</v>
      </c>
      <c r="E41" s="58">
        <v>0</v>
      </c>
      <c r="F41" s="58">
        <v>0.81</v>
      </c>
      <c r="G41" s="58">
        <v>0.81</v>
      </c>
      <c r="H41" s="58">
        <v>0.81</v>
      </c>
      <c r="I41" s="123"/>
    </row>
    <row r="42" spans="1:12" outlineLevel="1" x14ac:dyDescent="0.2">
      <c r="A42" s="22" t="s">
        <v>458</v>
      </c>
      <c r="B42" s="13" t="s">
        <v>440</v>
      </c>
      <c r="C42" s="12" t="s">
        <v>1</v>
      </c>
      <c r="D42" s="62">
        <f>D40*D41</f>
        <v>0</v>
      </c>
      <c r="E42" s="62">
        <f>E40*E41</f>
        <v>0</v>
      </c>
      <c r="F42" s="62">
        <f>F40*F41</f>
        <v>988.2</v>
      </c>
      <c r="G42" s="62">
        <f>G40*G41</f>
        <v>3726.0000000000005</v>
      </c>
      <c r="H42" s="62">
        <f>H40*H41</f>
        <v>3726.0000000000005</v>
      </c>
      <c r="I42" s="123"/>
    </row>
    <row r="43" spans="1:12" outlineLevel="1" x14ac:dyDescent="0.2">
      <c r="A43" s="22" t="s">
        <v>459</v>
      </c>
      <c r="B43" s="13" t="s">
        <v>102</v>
      </c>
      <c r="C43" s="12" t="s">
        <v>1</v>
      </c>
      <c r="D43" s="103"/>
      <c r="E43" s="103"/>
      <c r="F43" s="188">
        <v>871.2</v>
      </c>
      <c r="G43" s="103">
        <v>3300</v>
      </c>
      <c r="H43" s="103">
        <v>3300</v>
      </c>
      <c r="I43" s="123"/>
    </row>
    <row r="44" spans="1:12" outlineLevel="1" x14ac:dyDescent="0.2">
      <c r="A44" s="22" t="s">
        <v>460</v>
      </c>
      <c r="B44" s="13" t="s">
        <v>262</v>
      </c>
      <c r="C44" s="12" t="s">
        <v>2</v>
      </c>
      <c r="D44" s="189">
        <f>IF(D42=0,0,D43/D42*100)</f>
        <v>0</v>
      </c>
      <c r="E44" s="189">
        <f>IF(E42=0,0,E43/E42*100)</f>
        <v>0</v>
      </c>
      <c r="F44" s="189">
        <f>IF(F42=0,0,F43/F42*100)</f>
        <v>88.160291438979968</v>
      </c>
      <c r="G44" s="189">
        <f>IF(G42=0,0,G43/G42*100)</f>
        <v>88.566827697262468</v>
      </c>
      <c r="H44" s="189">
        <f>IF(H42=0,0,H43/H42*100)</f>
        <v>88.566827697262468</v>
      </c>
      <c r="I44" s="123"/>
    </row>
    <row r="45" spans="1:12" x14ac:dyDescent="0.2">
      <c r="A45" s="612"/>
      <c r="B45" s="612"/>
      <c r="C45" s="612"/>
      <c r="D45" s="612"/>
      <c r="E45" s="612"/>
      <c r="F45" s="612"/>
      <c r="G45" s="612"/>
      <c r="H45" s="612"/>
    </row>
    <row r="46" spans="1:12" x14ac:dyDescent="0.2">
      <c r="A46" s="22" t="s">
        <v>52</v>
      </c>
      <c r="B46" s="20" t="s">
        <v>522</v>
      </c>
      <c r="C46" s="623" t="s">
        <v>842</v>
      </c>
      <c r="D46" s="624"/>
      <c r="E46" s="624"/>
      <c r="F46" s="624"/>
      <c r="G46" s="624"/>
      <c r="H46" s="625"/>
    </row>
    <row r="47" spans="1:12" outlineLevel="1" x14ac:dyDescent="0.2">
      <c r="A47" s="22" t="s">
        <v>63</v>
      </c>
      <c r="B47" s="481" t="s">
        <v>790</v>
      </c>
      <c r="C47" s="623" t="s">
        <v>843</v>
      </c>
      <c r="D47" s="624"/>
      <c r="E47" s="624"/>
      <c r="F47" s="624"/>
      <c r="G47" s="624"/>
      <c r="H47" s="625"/>
    </row>
    <row r="48" spans="1:12" outlineLevel="1" x14ac:dyDescent="0.2">
      <c r="A48" s="22" t="s">
        <v>64</v>
      </c>
      <c r="B48" s="489" t="s">
        <v>788</v>
      </c>
      <c r="C48" s="12" t="s">
        <v>46</v>
      </c>
      <c r="D48" s="605" t="s">
        <v>814</v>
      </c>
      <c r="E48" s="606"/>
      <c r="F48" s="606"/>
      <c r="G48" s="606"/>
      <c r="H48" s="607"/>
    </row>
    <row r="49" spans="1:12" outlineLevel="1" x14ac:dyDescent="0.2">
      <c r="A49" s="22" t="s">
        <v>65</v>
      </c>
      <c r="B49" s="489" t="s">
        <v>789</v>
      </c>
      <c r="C49" s="12" t="s">
        <v>13</v>
      </c>
      <c r="D49" s="188">
        <v>0.38400000000000001</v>
      </c>
      <c r="E49" s="188">
        <v>0.38400000000000001</v>
      </c>
      <c r="F49" s="188">
        <v>0.38400000000000001</v>
      </c>
      <c r="G49" s="188">
        <v>0</v>
      </c>
      <c r="H49" s="188">
        <v>0</v>
      </c>
      <c r="I49" s="123"/>
      <c r="L49" s="123"/>
    </row>
    <row r="50" spans="1:12" outlineLevel="1" x14ac:dyDescent="0.2">
      <c r="A50" s="22" t="s">
        <v>461</v>
      </c>
      <c r="B50" s="13" t="s">
        <v>101</v>
      </c>
      <c r="C50" s="512" t="s">
        <v>859</v>
      </c>
      <c r="D50" s="188">
        <v>0</v>
      </c>
      <c r="E50" s="188">
        <v>1.78</v>
      </c>
      <c r="F50" s="188">
        <v>0</v>
      </c>
      <c r="G50" s="188">
        <v>0</v>
      </c>
      <c r="H50" s="188">
        <v>0</v>
      </c>
      <c r="I50" s="123"/>
    </row>
    <row r="51" spans="1:12" outlineLevel="1" x14ac:dyDescent="0.2">
      <c r="A51" s="22" t="s">
        <v>462</v>
      </c>
      <c r="B51" s="13" t="s">
        <v>439</v>
      </c>
      <c r="C51" s="200" t="str">
        <f>"MWh/"&amp;C50</f>
        <v>MWh/tuh m3</v>
      </c>
      <c r="D51" s="58">
        <f>D14</f>
        <v>9.67</v>
      </c>
      <c r="E51" s="58">
        <f>E14</f>
        <v>9.76</v>
      </c>
      <c r="F51" s="58"/>
      <c r="G51" s="58"/>
      <c r="H51" s="58"/>
      <c r="I51" s="123"/>
    </row>
    <row r="52" spans="1:12" outlineLevel="1" x14ac:dyDescent="0.2">
      <c r="A52" s="22" t="s">
        <v>464</v>
      </c>
      <c r="B52" s="13" t="s">
        <v>440</v>
      </c>
      <c r="C52" s="12" t="s">
        <v>1</v>
      </c>
      <c r="D52" s="62">
        <f>D50*D51</f>
        <v>0</v>
      </c>
      <c r="E52" s="62">
        <f>E50*E51</f>
        <v>17.372800000000002</v>
      </c>
      <c r="F52" s="62">
        <f>F50*F51</f>
        <v>0</v>
      </c>
      <c r="G52" s="62">
        <f>G50*G51</f>
        <v>0</v>
      </c>
      <c r="H52" s="62">
        <f>H50*H51</f>
        <v>0</v>
      </c>
      <c r="I52" s="123"/>
    </row>
    <row r="53" spans="1:12" outlineLevel="1" x14ac:dyDescent="0.2">
      <c r="A53" s="22" t="s">
        <v>465</v>
      </c>
      <c r="B53" s="13" t="s">
        <v>102</v>
      </c>
      <c r="C53" s="12" t="s">
        <v>1</v>
      </c>
      <c r="D53" s="103"/>
      <c r="E53" s="103">
        <v>17</v>
      </c>
      <c r="F53" s="103"/>
      <c r="G53" s="103"/>
      <c r="H53" s="103"/>
      <c r="I53" s="123"/>
    </row>
    <row r="54" spans="1:12" outlineLevel="1" x14ac:dyDescent="0.2">
      <c r="A54" s="22" t="s">
        <v>466</v>
      </c>
      <c r="B54" s="13" t="s">
        <v>262</v>
      </c>
      <c r="C54" s="12" t="s">
        <v>2</v>
      </c>
      <c r="D54" s="189">
        <f>IF(D52=0,0,D53/D52*100)</f>
        <v>0</v>
      </c>
      <c r="E54" s="189">
        <f>IF(E52=0,0,E53/E52*100)</f>
        <v>97.854116780254188</v>
      </c>
      <c r="F54" s="189">
        <f>IF(F52=0,0,F53/F52*100)</f>
        <v>0</v>
      </c>
      <c r="G54" s="189">
        <f>IF(G52=0,0,G53/G52*100)</f>
        <v>0</v>
      </c>
      <c r="H54" s="189">
        <f>IF(H52=0,0,H53/H52*100)</f>
        <v>0</v>
      </c>
      <c r="I54" s="123"/>
    </row>
    <row r="55" spans="1:12" outlineLevel="1" x14ac:dyDescent="0.2">
      <c r="A55" s="609"/>
      <c r="B55" s="609"/>
      <c r="C55" s="609"/>
      <c r="D55" s="609"/>
      <c r="E55" s="609"/>
      <c r="F55" s="609"/>
      <c r="G55" s="609"/>
      <c r="H55" s="609"/>
    </row>
    <row r="56" spans="1:12" outlineLevel="1" x14ac:dyDescent="0.2">
      <c r="A56" s="22" t="s">
        <v>66</v>
      </c>
      <c r="B56" s="481" t="s">
        <v>791</v>
      </c>
      <c r="C56" s="623" t="s">
        <v>844</v>
      </c>
      <c r="D56" s="624"/>
      <c r="E56" s="624"/>
      <c r="F56" s="624"/>
      <c r="G56" s="624"/>
      <c r="H56" s="625"/>
    </row>
    <row r="57" spans="1:12" outlineLevel="1" x14ac:dyDescent="0.2">
      <c r="A57" s="22" t="s">
        <v>67</v>
      </c>
      <c r="B57" s="489" t="s">
        <v>788</v>
      </c>
      <c r="C57" s="12" t="s">
        <v>46</v>
      </c>
      <c r="D57" s="605" t="s">
        <v>814</v>
      </c>
      <c r="E57" s="606"/>
      <c r="F57" s="606"/>
      <c r="G57" s="606"/>
      <c r="H57" s="607"/>
    </row>
    <row r="58" spans="1:12" outlineLevel="1" x14ac:dyDescent="0.2">
      <c r="A58" s="22" t="s">
        <v>68</v>
      </c>
      <c r="B58" s="489" t="s">
        <v>789</v>
      </c>
      <c r="C58" s="12" t="s">
        <v>13</v>
      </c>
      <c r="D58" s="188">
        <v>0.38400000000000001</v>
      </c>
      <c r="E58" s="188">
        <v>0.38400000000000001</v>
      </c>
      <c r="F58" s="188">
        <v>0.38400000000000001</v>
      </c>
      <c r="G58" s="188">
        <v>0</v>
      </c>
      <c r="H58" s="188">
        <v>0</v>
      </c>
      <c r="I58" s="123"/>
    </row>
    <row r="59" spans="1:12" outlineLevel="1" x14ac:dyDescent="0.2">
      <c r="A59" s="22" t="s">
        <v>467</v>
      </c>
      <c r="B59" s="13" t="s">
        <v>101</v>
      </c>
      <c r="C59" s="512" t="s">
        <v>859</v>
      </c>
      <c r="D59" s="188">
        <v>0</v>
      </c>
      <c r="E59" s="188">
        <v>0</v>
      </c>
      <c r="F59" s="188">
        <v>0</v>
      </c>
      <c r="G59" s="188">
        <v>0</v>
      </c>
      <c r="H59" s="188">
        <v>0</v>
      </c>
      <c r="I59" s="123"/>
    </row>
    <row r="60" spans="1:12" outlineLevel="1" x14ac:dyDescent="0.2">
      <c r="A60" s="22" t="s">
        <v>468</v>
      </c>
      <c r="B60" s="13" t="s">
        <v>439</v>
      </c>
      <c r="C60" s="200" t="str">
        <f>"MWh/"&amp;C59</f>
        <v>MWh/tuh m3</v>
      </c>
      <c r="D60" s="58"/>
      <c r="E60" s="58"/>
      <c r="F60" s="58"/>
      <c r="G60" s="58"/>
      <c r="H60" s="58"/>
    </row>
    <row r="61" spans="1:12" outlineLevel="1" x14ac:dyDescent="0.2">
      <c r="A61" s="22" t="s">
        <v>469</v>
      </c>
      <c r="B61" s="13" t="s">
        <v>440</v>
      </c>
      <c r="C61" s="12" t="s">
        <v>1</v>
      </c>
      <c r="D61" s="62">
        <f>D59*D60</f>
        <v>0</v>
      </c>
      <c r="E61" s="62">
        <f>E59*E60</f>
        <v>0</v>
      </c>
      <c r="F61" s="62">
        <f>F59*F60</f>
        <v>0</v>
      </c>
      <c r="G61" s="62">
        <f>G59*G60</f>
        <v>0</v>
      </c>
      <c r="H61" s="62">
        <f>H59*H60</f>
        <v>0</v>
      </c>
    </row>
    <row r="62" spans="1:12" outlineLevel="1" x14ac:dyDescent="0.2">
      <c r="A62" s="22" t="s">
        <v>470</v>
      </c>
      <c r="B62" s="13" t="s">
        <v>102</v>
      </c>
      <c r="C62" s="12" t="s">
        <v>1</v>
      </c>
      <c r="D62" s="103"/>
      <c r="E62" s="103"/>
      <c r="F62" s="103"/>
      <c r="G62" s="103"/>
      <c r="H62" s="103"/>
    </row>
    <row r="63" spans="1:12" outlineLevel="1" x14ac:dyDescent="0.2">
      <c r="A63" s="22" t="s">
        <v>471</v>
      </c>
      <c r="B63" s="13" t="s">
        <v>262</v>
      </c>
      <c r="C63" s="12" t="s">
        <v>2</v>
      </c>
      <c r="D63" s="189">
        <f>IF(D61=0,0,D62/D61*100)</f>
        <v>0</v>
      </c>
      <c r="E63" s="189">
        <f>IF(E61=0,0,E62/E61*100)</f>
        <v>0</v>
      </c>
      <c r="F63" s="189">
        <f>IF(F61=0,0,F62/F61*100)</f>
        <v>0</v>
      </c>
      <c r="G63" s="189">
        <f>IF(G61=0,0,G62/G61*100)</f>
        <v>0</v>
      </c>
      <c r="H63" s="189">
        <f>IF(H61=0,0,H62/H61*100)</f>
        <v>0</v>
      </c>
    </row>
    <row r="64" spans="1:12" outlineLevel="1" x14ac:dyDescent="0.2">
      <c r="A64" s="609"/>
      <c r="B64" s="609"/>
      <c r="C64" s="609"/>
      <c r="D64" s="609"/>
      <c r="E64" s="609"/>
      <c r="F64" s="609"/>
      <c r="G64" s="609"/>
      <c r="H64" s="609"/>
    </row>
    <row r="65" spans="1:8" x14ac:dyDescent="0.2">
      <c r="A65" s="22" t="s">
        <v>72</v>
      </c>
      <c r="B65" s="20" t="s">
        <v>523</v>
      </c>
      <c r="C65" s="611"/>
      <c r="D65" s="612"/>
      <c r="E65" s="612"/>
      <c r="F65" s="612"/>
      <c r="G65" s="612"/>
      <c r="H65" s="613"/>
    </row>
    <row r="66" spans="1:8" hidden="1" outlineLevel="1" x14ac:dyDescent="0.2">
      <c r="A66" s="22" t="s">
        <v>73</v>
      </c>
      <c r="B66" s="481" t="s">
        <v>790</v>
      </c>
      <c r="C66" s="611"/>
      <c r="D66" s="612"/>
      <c r="E66" s="612"/>
      <c r="F66" s="612"/>
      <c r="G66" s="612"/>
      <c r="H66" s="613"/>
    </row>
    <row r="67" spans="1:8" hidden="1" outlineLevel="1" x14ac:dyDescent="0.2">
      <c r="A67" s="22" t="s">
        <v>74</v>
      </c>
      <c r="B67" s="489" t="s">
        <v>788</v>
      </c>
      <c r="C67" s="12" t="s">
        <v>46</v>
      </c>
      <c r="D67" s="605" t="s">
        <v>515</v>
      </c>
      <c r="E67" s="606"/>
      <c r="F67" s="606"/>
      <c r="G67" s="606"/>
      <c r="H67" s="607"/>
    </row>
    <row r="68" spans="1:8" hidden="1" outlineLevel="1" x14ac:dyDescent="0.2">
      <c r="A68" s="22" t="s">
        <v>75</v>
      </c>
      <c r="B68" s="489" t="s">
        <v>789</v>
      </c>
      <c r="C68" s="12" t="s">
        <v>13</v>
      </c>
      <c r="D68" s="188"/>
      <c r="E68" s="188"/>
      <c r="F68" s="188"/>
      <c r="G68" s="188"/>
      <c r="H68" s="188"/>
    </row>
    <row r="69" spans="1:8" hidden="1" outlineLevel="1" x14ac:dyDescent="0.2">
      <c r="A69" s="22" t="s">
        <v>472</v>
      </c>
      <c r="B69" s="13" t="s">
        <v>101</v>
      </c>
      <c r="C69" s="199" t="s">
        <v>263</v>
      </c>
      <c r="D69" s="188"/>
      <c r="E69" s="188"/>
      <c r="F69" s="188"/>
      <c r="G69" s="188"/>
      <c r="H69" s="188"/>
    </row>
    <row r="70" spans="1:8" hidden="1" outlineLevel="1" x14ac:dyDescent="0.2">
      <c r="A70" s="22" t="s">
        <v>473</v>
      </c>
      <c r="B70" s="13" t="s">
        <v>439</v>
      </c>
      <c r="C70" s="200" t="str">
        <f>"MWh/"&amp;C69</f>
        <v>MWh/(ühik)</v>
      </c>
      <c r="D70" s="58"/>
      <c r="E70" s="58"/>
      <c r="F70" s="58"/>
      <c r="G70" s="58"/>
      <c r="H70" s="58"/>
    </row>
    <row r="71" spans="1:8" hidden="1" outlineLevel="1" x14ac:dyDescent="0.2">
      <c r="A71" s="22" t="s">
        <v>474</v>
      </c>
      <c r="B71" s="13" t="s">
        <v>440</v>
      </c>
      <c r="C71" s="12" t="s">
        <v>1</v>
      </c>
      <c r="D71" s="62">
        <f>D69*D70</f>
        <v>0</v>
      </c>
      <c r="E71" s="62">
        <f>E69*E70</f>
        <v>0</v>
      </c>
      <c r="F71" s="62">
        <f>F69*F70</f>
        <v>0</v>
      </c>
      <c r="G71" s="62">
        <f>G69*G70</f>
        <v>0</v>
      </c>
      <c r="H71" s="62">
        <f>H69*H70</f>
        <v>0</v>
      </c>
    </row>
    <row r="72" spans="1:8" hidden="1" outlineLevel="1" x14ac:dyDescent="0.2">
      <c r="A72" s="22" t="s">
        <v>475</v>
      </c>
      <c r="B72" s="13" t="s">
        <v>102</v>
      </c>
      <c r="C72" s="12" t="s">
        <v>1</v>
      </c>
      <c r="D72" s="103"/>
      <c r="E72" s="103"/>
      <c r="F72" s="103"/>
      <c r="G72" s="103"/>
      <c r="H72" s="103"/>
    </row>
    <row r="73" spans="1:8" hidden="1" outlineLevel="1" x14ac:dyDescent="0.2">
      <c r="A73" s="22" t="s">
        <v>476</v>
      </c>
      <c r="B73" s="13" t="s">
        <v>262</v>
      </c>
      <c r="C73" s="12" t="s">
        <v>2</v>
      </c>
      <c r="D73" s="189">
        <f>IF(D71=0,0,D72/D71*100)</f>
        <v>0</v>
      </c>
      <c r="E73" s="189">
        <f>IF(E71=0,0,E72/E71*100)</f>
        <v>0</v>
      </c>
      <c r="F73" s="189">
        <f>IF(F71=0,0,F72/F71*100)</f>
        <v>0</v>
      </c>
      <c r="G73" s="189">
        <f>IF(G71=0,0,G72/G71*100)</f>
        <v>0</v>
      </c>
      <c r="H73" s="189">
        <f>IF(H71=0,0,H72/H71*100)</f>
        <v>0</v>
      </c>
    </row>
    <row r="74" spans="1:8" hidden="1" outlineLevel="1" x14ac:dyDescent="0.2">
      <c r="A74" s="608"/>
      <c r="B74" s="609"/>
      <c r="C74" s="609"/>
      <c r="D74" s="609"/>
      <c r="E74" s="609"/>
      <c r="F74" s="609"/>
      <c r="G74" s="609"/>
      <c r="H74" s="610"/>
    </row>
    <row r="75" spans="1:8" hidden="1" outlineLevel="1" x14ac:dyDescent="0.2">
      <c r="A75" s="22" t="s">
        <v>76</v>
      </c>
      <c r="B75" s="481" t="s">
        <v>791</v>
      </c>
      <c r="C75" s="611"/>
      <c r="D75" s="612"/>
      <c r="E75" s="612"/>
      <c r="F75" s="612"/>
      <c r="G75" s="612"/>
      <c r="H75" s="613"/>
    </row>
    <row r="76" spans="1:8" hidden="1" outlineLevel="1" x14ac:dyDescent="0.2">
      <c r="A76" s="22" t="s">
        <v>77</v>
      </c>
      <c r="B76" s="489" t="s">
        <v>788</v>
      </c>
      <c r="C76" s="12" t="s">
        <v>46</v>
      </c>
      <c r="D76" s="605" t="s">
        <v>515</v>
      </c>
      <c r="E76" s="606"/>
      <c r="F76" s="606"/>
      <c r="G76" s="606"/>
      <c r="H76" s="607"/>
    </row>
    <row r="77" spans="1:8" hidden="1" outlineLevel="1" x14ac:dyDescent="0.2">
      <c r="A77" s="22" t="s">
        <v>78</v>
      </c>
      <c r="B77" s="489" t="s">
        <v>789</v>
      </c>
      <c r="C77" s="12" t="s">
        <v>13</v>
      </c>
      <c r="D77" s="188"/>
      <c r="E77" s="188"/>
      <c r="F77" s="188"/>
      <c r="G77" s="188"/>
      <c r="H77" s="188"/>
    </row>
    <row r="78" spans="1:8" hidden="1" outlineLevel="1" x14ac:dyDescent="0.2">
      <c r="A78" s="22" t="s">
        <v>477</v>
      </c>
      <c r="B78" s="13" t="s">
        <v>101</v>
      </c>
      <c r="C78" s="199" t="s">
        <v>263</v>
      </c>
      <c r="D78" s="188"/>
      <c r="E78" s="188"/>
      <c r="F78" s="188"/>
      <c r="G78" s="188"/>
      <c r="H78" s="188"/>
    </row>
    <row r="79" spans="1:8" hidden="1" outlineLevel="1" x14ac:dyDescent="0.2">
      <c r="A79" s="22" t="s">
        <v>479</v>
      </c>
      <c r="B79" s="13" t="s">
        <v>439</v>
      </c>
      <c r="C79" s="200" t="str">
        <f>"MWh/"&amp;C78</f>
        <v>MWh/(ühik)</v>
      </c>
      <c r="D79" s="58"/>
      <c r="E79" s="58"/>
      <c r="F79" s="58"/>
      <c r="G79" s="58"/>
      <c r="H79" s="58"/>
    </row>
    <row r="80" spans="1:8" hidden="1" outlineLevel="1" x14ac:dyDescent="0.2">
      <c r="A80" s="22" t="s">
        <v>478</v>
      </c>
      <c r="B80" s="13" t="s">
        <v>440</v>
      </c>
      <c r="C80" s="12" t="s">
        <v>1</v>
      </c>
      <c r="D80" s="62">
        <f>D78*D79</f>
        <v>0</v>
      </c>
      <c r="E80" s="62">
        <f>E78*E79</f>
        <v>0</v>
      </c>
      <c r="F80" s="62">
        <f>F78*F79</f>
        <v>0</v>
      </c>
      <c r="G80" s="62">
        <f>G78*G79</f>
        <v>0</v>
      </c>
      <c r="H80" s="62">
        <f>H78*H79</f>
        <v>0</v>
      </c>
    </row>
    <row r="81" spans="1:8" hidden="1" outlineLevel="1" x14ac:dyDescent="0.2">
      <c r="A81" s="22" t="s">
        <v>480</v>
      </c>
      <c r="B81" s="13" t="s">
        <v>102</v>
      </c>
      <c r="C81" s="12" t="s">
        <v>1</v>
      </c>
      <c r="D81" s="103"/>
      <c r="E81" s="103"/>
      <c r="F81" s="103"/>
      <c r="G81" s="103"/>
      <c r="H81" s="103"/>
    </row>
    <row r="82" spans="1:8" hidden="1" outlineLevel="1" x14ac:dyDescent="0.2">
      <c r="A82" s="22" t="s">
        <v>481</v>
      </c>
      <c r="B82" s="13" t="s">
        <v>262</v>
      </c>
      <c r="C82" s="12" t="s">
        <v>2</v>
      </c>
      <c r="D82" s="189">
        <f>IF(D80=0,0,D81/D80*100)</f>
        <v>0</v>
      </c>
      <c r="E82" s="189">
        <f>IF(E80=0,0,E81/E80*100)</f>
        <v>0</v>
      </c>
      <c r="F82" s="189">
        <f>IF(F80=0,0,F81/F80*100)</f>
        <v>0</v>
      </c>
      <c r="G82" s="189">
        <f>IF(G80=0,0,G81/G80*100)</f>
        <v>0</v>
      </c>
      <c r="H82" s="189">
        <f>IF(H80=0,0,H81/H80*100)</f>
        <v>0</v>
      </c>
    </row>
    <row r="83" spans="1:8" hidden="1" outlineLevel="1" x14ac:dyDescent="0.2">
      <c r="A83" s="608"/>
      <c r="B83" s="609"/>
      <c r="C83" s="609"/>
      <c r="D83" s="609"/>
      <c r="E83" s="609"/>
      <c r="F83" s="609"/>
      <c r="G83" s="609"/>
      <c r="H83" s="610"/>
    </row>
    <row r="84" spans="1:8" collapsed="1" x14ac:dyDescent="0.2">
      <c r="A84" s="22" t="s">
        <v>82</v>
      </c>
      <c r="B84" s="20" t="s">
        <v>524</v>
      </c>
      <c r="C84" s="611"/>
      <c r="D84" s="612"/>
      <c r="E84" s="612"/>
      <c r="F84" s="612"/>
      <c r="G84" s="612"/>
      <c r="H84" s="613"/>
    </row>
    <row r="85" spans="1:8" outlineLevel="1" x14ac:dyDescent="0.2">
      <c r="A85" s="22" t="s">
        <v>83</v>
      </c>
      <c r="B85" s="481" t="s">
        <v>790</v>
      </c>
      <c r="C85" s="611"/>
      <c r="D85" s="612"/>
      <c r="E85" s="612"/>
      <c r="F85" s="612"/>
      <c r="G85" s="612"/>
      <c r="H85" s="613"/>
    </row>
    <row r="86" spans="1:8" outlineLevel="1" x14ac:dyDescent="0.2">
      <c r="A86" s="22" t="s">
        <v>84</v>
      </c>
      <c r="B86" s="489" t="s">
        <v>788</v>
      </c>
      <c r="C86" s="12" t="s">
        <v>46</v>
      </c>
      <c r="D86" s="605" t="s">
        <v>515</v>
      </c>
      <c r="E86" s="606"/>
      <c r="F86" s="606"/>
      <c r="G86" s="606"/>
      <c r="H86" s="607"/>
    </row>
    <row r="87" spans="1:8" outlineLevel="1" x14ac:dyDescent="0.2">
      <c r="A87" s="22" t="s">
        <v>85</v>
      </c>
      <c r="B87" s="489" t="s">
        <v>789</v>
      </c>
      <c r="C87" s="12" t="s">
        <v>13</v>
      </c>
      <c r="D87" s="188"/>
      <c r="E87" s="188"/>
      <c r="F87" s="188"/>
      <c r="G87" s="188"/>
      <c r="H87" s="188"/>
    </row>
    <row r="88" spans="1:8" outlineLevel="1" x14ac:dyDescent="0.2">
      <c r="A88" s="22" t="s">
        <v>482</v>
      </c>
      <c r="B88" s="13" t="s">
        <v>101</v>
      </c>
      <c r="C88" s="199" t="s">
        <v>263</v>
      </c>
      <c r="D88" s="188"/>
      <c r="E88" s="188"/>
      <c r="F88" s="188"/>
      <c r="G88" s="188"/>
      <c r="H88" s="188"/>
    </row>
    <row r="89" spans="1:8" outlineLevel="1" x14ac:dyDescent="0.2">
      <c r="A89" s="22" t="s">
        <v>483</v>
      </c>
      <c r="B89" s="13" t="s">
        <v>439</v>
      </c>
      <c r="C89" s="200" t="str">
        <f>"MWh/"&amp;C88</f>
        <v>MWh/(ühik)</v>
      </c>
      <c r="D89" s="58"/>
      <c r="E89" s="58"/>
      <c r="F89" s="58"/>
      <c r="G89" s="58"/>
      <c r="H89" s="58"/>
    </row>
    <row r="90" spans="1:8" outlineLevel="1" x14ac:dyDescent="0.2">
      <c r="A90" s="22" t="s">
        <v>463</v>
      </c>
      <c r="B90" s="13" t="s">
        <v>440</v>
      </c>
      <c r="C90" s="12" t="s">
        <v>1</v>
      </c>
      <c r="D90" s="62">
        <f>D88*D89</f>
        <v>0</v>
      </c>
      <c r="E90" s="62">
        <f>E88*E89</f>
        <v>0</v>
      </c>
      <c r="F90" s="62">
        <f>F88*F89</f>
        <v>0</v>
      </c>
      <c r="G90" s="62">
        <f>G88*G89</f>
        <v>0</v>
      </c>
      <c r="H90" s="62">
        <f>H88*H89</f>
        <v>0</v>
      </c>
    </row>
    <row r="91" spans="1:8" outlineLevel="1" x14ac:dyDescent="0.2">
      <c r="A91" s="22" t="s">
        <v>484</v>
      </c>
      <c r="B91" s="13" t="s">
        <v>102</v>
      </c>
      <c r="C91" s="12" t="s">
        <v>1</v>
      </c>
      <c r="D91" s="103"/>
      <c r="E91" s="103"/>
      <c r="F91" s="103"/>
      <c r="G91" s="103"/>
      <c r="H91" s="103"/>
    </row>
    <row r="92" spans="1:8" outlineLevel="1" x14ac:dyDescent="0.2">
      <c r="A92" s="22" t="s">
        <v>485</v>
      </c>
      <c r="B92" s="13" t="s">
        <v>262</v>
      </c>
      <c r="C92" s="12" t="s">
        <v>2</v>
      </c>
      <c r="D92" s="189">
        <f>IF(D90=0,0,D91/D90*100)</f>
        <v>0</v>
      </c>
      <c r="E92" s="189">
        <f>IF(E90=0,0,E91/E90*100)</f>
        <v>0</v>
      </c>
      <c r="F92" s="189">
        <f>IF(F90=0,0,F91/F90*100)</f>
        <v>0</v>
      </c>
      <c r="G92" s="189">
        <f>IF(G90=0,0,G91/G90*100)</f>
        <v>0</v>
      </c>
      <c r="H92" s="189">
        <f>IF(H90=0,0,H91/H90*100)</f>
        <v>0</v>
      </c>
    </row>
    <row r="93" spans="1:8" outlineLevel="1" x14ac:dyDescent="0.2">
      <c r="A93" s="608"/>
      <c r="B93" s="609"/>
      <c r="C93" s="609"/>
      <c r="D93" s="609"/>
      <c r="E93" s="609"/>
      <c r="F93" s="609"/>
      <c r="G93" s="609"/>
      <c r="H93" s="610"/>
    </row>
    <row r="94" spans="1:8" outlineLevel="1" x14ac:dyDescent="0.2">
      <c r="A94" s="22" t="s">
        <v>86</v>
      </c>
      <c r="B94" s="481" t="s">
        <v>791</v>
      </c>
      <c r="C94" s="611"/>
      <c r="D94" s="612"/>
      <c r="E94" s="612"/>
      <c r="F94" s="612"/>
      <c r="G94" s="612"/>
      <c r="H94" s="613"/>
    </row>
    <row r="95" spans="1:8" outlineLevel="1" x14ac:dyDescent="0.2">
      <c r="A95" s="22" t="s">
        <v>87</v>
      </c>
      <c r="B95" s="489" t="s">
        <v>788</v>
      </c>
      <c r="C95" s="12" t="s">
        <v>46</v>
      </c>
      <c r="D95" s="605" t="s">
        <v>515</v>
      </c>
      <c r="E95" s="606"/>
      <c r="F95" s="606"/>
      <c r="G95" s="606"/>
      <c r="H95" s="607"/>
    </row>
    <row r="96" spans="1:8" outlineLevel="1" x14ac:dyDescent="0.2">
      <c r="A96" s="22" t="s">
        <v>88</v>
      </c>
      <c r="B96" s="489" t="s">
        <v>789</v>
      </c>
      <c r="C96" s="12" t="s">
        <v>13</v>
      </c>
      <c r="D96" s="188"/>
      <c r="E96" s="188"/>
      <c r="F96" s="188"/>
      <c r="G96" s="188"/>
      <c r="H96" s="188"/>
    </row>
    <row r="97" spans="1:54" outlineLevel="1" x14ac:dyDescent="0.2">
      <c r="A97" s="22" t="s">
        <v>486</v>
      </c>
      <c r="B97" s="13" t="s">
        <v>101</v>
      </c>
      <c r="C97" s="199" t="s">
        <v>263</v>
      </c>
      <c r="D97" s="188"/>
      <c r="E97" s="188"/>
      <c r="F97" s="188"/>
      <c r="G97" s="188"/>
      <c r="H97" s="188"/>
    </row>
    <row r="98" spans="1:54" outlineLevel="1" x14ac:dyDescent="0.2">
      <c r="A98" s="22" t="s">
        <v>487</v>
      </c>
      <c r="B98" s="13" t="s">
        <v>439</v>
      </c>
      <c r="C98" s="200" t="str">
        <f>"MWh/"&amp;C97</f>
        <v>MWh/(ühik)</v>
      </c>
      <c r="D98" s="58"/>
      <c r="E98" s="58"/>
      <c r="F98" s="58"/>
      <c r="G98" s="58"/>
      <c r="H98" s="58"/>
    </row>
    <row r="99" spans="1:54" outlineLevel="1" x14ac:dyDescent="0.2">
      <c r="A99" s="22" t="s">
        <v>488</v>
      </c>
      <c r="B99" s="13" t="s">
        <v>440</v>
      </c>
      <c r="C99" s="12" t="s">
        <v>1</v>
      </c>
      <c r="D99" s="62">
        <f>D97*D98</f>
        <v>0</v>
      </c>
      <c r="E99" s="62">
        <f>E97*E98</f>
        <v>0</v>
      </c>
      <c r="F99" s="62">
        <f>F97*F98</f>
        <v>0</v>
      </c>
      <c r="G99" s="62">
        <f>G97*G98</f>
        <v>0</v>
      </c>
      <c r="H99" s="62">
        <f>H97*H98</f>
        <v>0</v>
      </c>
    </row>
    <row r="100" spans="1:54" outlineLevel="1" x14ac:dyDescent="0.2">
      <c r="A100" s="22" t="s">
        <v>489</v>
      </c>
      <c r="B100" s="13" t="s">
        <v>102</v>
      </c>
      <c r="C100" s="12" t="s">
        <v>1</v>
      </c>
      <c r="D100" s="103"/>
      <c r="E100" s="103"/>
      <c r="F100" s="103"/>
      <c r="G100" s="103"/>
      <c r="H100" s="103"/>
    </row>
    <row r="101" spans="1:54" outlineLevel="1" x14ac:dyDescent="0.2">
      <c r="A101" s="22" t="s">
        <v>490</v>
      </c>
      <c r="B101" s="13" t="s">
        <v>262</v>
      </c>
      <c r="C101" s="12" t="s">
        <v>2</v>
      </c>
      <c r="D101" s="189">
        <f>IF(D99=0,0,D100/D99*100)</f>
        <v>0</v>
      </c>
      <c r="E101" s="189">
        <f>IF(E99=0,0,E100/E99*100)</f>
        <v>0</v>
      </c>
      <c r="F101" s="189">
        <f>IF(F99=0,0,F100/F99*100)</f>
        <v>0</v>
      </c>
      <c r="G101" s="189">
        <f>IF(G99=0,0,G100/G99*100)</f>
        <v>0</v>
      </c>
      <c r="H101" s="189">
        <f>IF(H99=0,0,H100/H99*100)</f>
        <v>0</v>
      </c>
    </row>
    <row r="102" spans="1:54" ht="13.5" customHeight="1" outlineLevel="1" x14ac:dyDescent="0.2">
      <c r="A102" s="608"/>
      <c r="B102" s="609"/>
      <c r="C102" s="609"/>
      <c r="D102" s="609"/>
      <c r="E102" s="609"/>
      <c r="F102" s="609"/>
      <c r="G102" s="609"/>
      <c r="H102" s="610"/>
    </row>
    <row r="103" spans="1:54" x14ac:dyDescent="0.2">
      <c r="A103" s="22" t="s">
        <v>89</v>
      </c>
      <c r="B103" s="31" t="s">
        <v>90</v>
      </c>
      <c r="C103" s="32" t="s">
        <v>13</v>
      </c>
      <c r="D103" s="375">
        <f>D12+D21+D30+D39+D49+D58+D68+D77+D87+D96</f>
        <v>2.048</v>
      </c>
      <c r="E103" s="375">
        <f>E12+E21+E30+E39+E49+E58+E68+E77+E87+E96</f>
        <v>2.008</v>
      </c>
      <c r="F103" s="375">
        <f>F12+F21+F30+F39+F49+F58+F68+F77+F87+F96</f>
        <v>3.8980000000000001</v>
      </c>
      <c r="G103" s="502">
        <f>G30+G39</f>
        <v>1.85</v>
      </c>
      <c r="H103" s="502">
        <f>H30+H39</f>
        <v>1.85</v>
      </c>
      <c r="I103" s="123"/>
    </row>
    <row r="104" spans="1:54" x14ac:dyDescent="0.2">
      <c r="A104" s="609"/>
      <c r="B104" s="609"/>
      <c r="C104" s="609"/>
      <c r="D104" s="609"/>
      <c r="E104" s="609"/>
      <c r="F104" s="609"/>
      <c r="G104" s="609"/>
      <c r="H104" s="609"/>
    </row>
    <row r="105" spans="1:54" s="131" customFormat="1" ht="14.25" x14ac:dyDescent="0.2">
      <c r="A105" s="187" t="s">
        <v>91</v>
      </c>
      <c r="B105" s="18" t="s">
        <v>438</v>
      </c>
      <c r="C105" s="614"/>
      <c r="D105" s="615"/>
      <c r="E105" s="615"/>
      <c r="F105" s="615"/>
      <c r="G105" s="615"/>
      <c r="H105" s="616"/>
      <c r="I105" s="420"/>
      <c r="J105" s="418"/>
      <c r="K105" s="420"/>
      <c r="L105" s="420"/>
      <c r="M105" s="420"/>
      <c r="N105" s="420"/>
      <c r="O105" s="420"/>
      <c r="P105" s="420"/>
      <c r="Q105" s="420"/>
      <c r="R105" s="420"/>
      <c r="S105" s="420"/>
      <c r="T105" s="420"/>
      <c r="U105" s="425"/>
      <c r="V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F105" s="420"/>
      <c r="AG105" s="420"/>
      <c r="AH105" s="420"/>
      <c r="AI105" s="420"/>
      <c r="AJ105" s="420"/>
      <c r="AK105" s="420"/>
      <c r="AL105" s="420"/>
      <c r="AM105" s="420"/>
      <c r="AN105" s="420"/>
      <c r="AO105" s="420"/>
      <c r="AP105" s="420"/>
      <c r="AQ105" s="420"/>
      <c r="AR105" s="420"/>
      <c r="AS105" s="420"/>
      <c r="AT105" s="420"/>
      <c r="AU105" s="420"/>
      <c r="AV105" s="420"/>
      <c r="AW105" s="420"/>
      <c r="AX105" s="420"/>
      <c r="AY105" s="420"/>
      <c r="AZ105" s="420"/>
      <c r="BA105" s="420"/>
      <c r="BB105" s="420"/>
    </row>
    <row r="106" spans="1:54" x14ac:dyDescent="0.2">
      <c r="A106" s="22" t="s">
        <v>92</v>
      </c>
      <c r="B106" s="24" t="s">
        <v>99</v>
      </c>
      <c r="C106" s="614"/>
      <c r="D106" s="615"/>
      <c r="E106" s="615"/>
      <c r="F106" s="615"/>
      <c r="G106" s="615"/>
      <c r="H106" s="616"/>
    </row>
    <row r="107" spans="1:54" x14ac:dyDescent="0.2">
      <c r="A107" s="22" t="s">
        <v>93</v>
      </c>
      <c r="B107" s="13" t="s">
        <v>100</v>
      </c>
      <c r="C107" s="12" t="s">
        <v>46</v>
      </c>
      <c r="D107" s="602" t="s">
        <v>814</v>
      </c>
      <c r="E107" s="603"/>
      <c r="F107" s="603"/>
      <c r="G107" s="603"/>
      <c r="H107" s="604"/>
    </row>
    <row r="108" spans="1:54" x14ac:dyDescent="0.2">
      <c r="A108" s="22" t="s">
        <v>291</v>
      </c>
      <c r="B108" s="13" t="s">
        <v>101</v>
      </c>
      <c r="C108" s="512" t="s">
        <v>859</v>
      </c>
      <c r="D108" s="190">
        <f>IF($D$11=$D$107,D13,0)+IF($D$20=$D$107,D22,0)+IF($D$29=$D$107,D31,0)+IF($D$38=$D$107,D40,0)+IF($D$48=$D$107,D50,0)+IF($D$57=$D$107,D59,0)+IF($D$67=$D$107,D69,0)+IF($D$76=$D$107,D78,0)+IF($D$86=$D$107,D88,0)+IF($D$95=$D$107,D97,0)</f>
        <v>332.892</v>
      </c>
      <c r="E108" s="190">
        <f>IF($D$11=$D$107,E13,0)+IF($D$20=$D$107,E22,0)+IF($D$29=$D$107,E31,0)+IF($D$38=$D$107,E40,0)+IF($D$48=$D$107,E50,0)+IF($D$57=$D$107,E59,0)+IF($D$67=$D$107,E69,0)+IF($D$76=$D$107,E78,0)+IF($D$86=$D$107,E88,0)+IF($D$95=$D$107,E97,0)</f>
        <v>313.17699999999996</v>
      </c>
      <c r="F108" s="190">
        <f>IF($D$11=$D$107,F13,0)+IF($D$20=$D$107,F22,0)+IF($D$29=$D$107,F31,0)+IF($D$38=$D$107,F40,0)+IF($D$48=$D$107,F50,0)+IF($D$57=$D$107,F59,0)+IF($D$67=$D$107,F69,0)+IF($D$76=$D$107,F78,0)+IF($D$86=$D$107,F88,0)+IF($D$95=$D$107,F97,0)</f>
        <v>229.99299999999999</v>
      </c>
      <c r="G108" s="190">
        <f>IF($D$11=$D$107,G13,0)+IF($D$20=$D$107,G22,0)+IF($D$29=$D$107,G31,0)+IF($D$38=$D$107,G40,0)+IF($D$48=$D$107,G50,0)+IF($D$57=$D$107,G59,0)+IF($D$67=$D$107,G69,0)+IF($D$76=$D$107,G78,0)+IF($D$86=$D$107,G88,0)+IF($D$95=$D$107,G97,0)</f>
        <v>30</v>
      </c>
      <c r="H108" s="190">
        <f>IF($D$11=$D$107,H13,0)+IF($D$20=$D$107,H22,0)+IF($D$29=$D$107,H31,0)+IF($D$38=$D$107,H40,0)+IF($D$48=$D$107,H50,0)+IF($D$57=$D$107,H59,0)+IF($D$67=$D$107,H69,0)+IF($D$76=$D$107,H78,0)+IF($D$86=$D$107,H88,0)+IF($D$95=$D$107,H97,0)</f>
        <v>30</v>
      </c>
    </row>
    <row r="109" spans="1:54" x14ac:dyDescent="0.2">
      <c r="A109" s="22" t="s">
        <v>491</v>
      </c>
      <c r="B109" s="13" t="s">
        <v>510</v>
      </c>
      <c r="C109" s="200" t="str">
        <f>"MWh/"&amp;C108</f>
        <v>MWh/tuh m3</v>
      </c>
      <c r="D109" s="52">
        <f>IF(D108=0,0,D110/D108)</f>
        <v>9.67</v>
      </c>
      <c r="E109" s="52">
        <f>IF(E108=0,0,E110/E108)</f>
        <v>9.7600000000000016</v>
      </c>
      <c r="F109" s="52">
        <f>IF(F108=0,0,F110/F108)</f>
        <v>9.6800000000000015</v>
      </c>
      <c r="G109" s="52">
        <f>IF(G108=0,0,G110/G108)</f>
        <v>9.68</v>
      </c>
      <c r="H109" s="52">
        <f>IF(H108=0,0,H110/H108)</f>
        <v>9.68</v>
      </c>
    </row>
    <row r="110" spans="1:54" x14ac:dyDescent="0.2">
      <c r="A110" s="22" t="s">
        <v>492</v>
      </c>
      <c r="B110" s="13" t="s">
        <v>509</v>
      </c>
      <c r="C110" s="12" t="s">
        <v>1</v>
      </c>
      <c r="D110" s="62">
        <f t="shared" ref="D110:H111" si="0">IF($D$11=$D$107,D15,0)+IF($D$20=$D$107,D24,0)+IF($D$29=$D$107,D33,0)+IF($D$38=$D$107,D42,0)+IF($D$48=$D$107,D52,0)+IF($D$57=$D$107,D61,0)+IF($D$67=$D$107,D71,0)+IF($D$76=$D$107,D80,0)+IF($D$86=$D$107,D90,0)+IF($D$95=$D$107,D99,0)</f>
        <v>3219.0656399999998</v>
      </c>
      <c r="E110" s="62">
        <f t="shared" si="0"/>
        <v>3056.60752</v>
      </c>
      <c r="F110" s="62">
        <f>IF($D$11=$D$107,F15,0)+IF($D$20=$D$107,F24,0)+IF($D$29=$D$107,F33,0)+IF($D$38=$D$107,F42,0)+IF($D$48=$D$107,F52,0)+IF($D$57=$D$107,F61,0)+IF($D$67=$D$107,F71,0)+IF($D$76=$D$107,F80,0)+IF($D$86=$D$107,F90,0)+IF($D$95=$D$107,F99,0)</f>
        <v>2226.3322400000002</v>
      </c>
      <c r="G110" s="62">
        <f t="shared" si="0"/>
        <v>290.39999999999998</v>
      </c>
      <c r="H110" s="62">
        <f t="shared" si="0"/>
        <v>290.39999999999998</v>
      </c>
    </row>
    <row r="111" spans="1:54" x14ac:dyDescent="0.2">
      <c r="A111" s="22" t="s">
        <v>493</v>
      </c>
      <c r="B111" s="13" t="s">
        <v>102</v>
      </c>
      <c r="C111" s="12" t="s">
        <v>1</v>
      </c>
      <c r="D111" s="62">
        <f t="shared" si="0"/>
        <v>3055</v>
      </c>
      <c r="E111" s="62">
        <f t="shared" si="0"/>
        <v>2975.1</v>
      </c>
      <c r="F111" s="62">
        <f t="shared" si="0"/>
        <v>2068.5</v>
      </c>
      <c r="G111" s="62">
        <f t="shared" si="0"/>
        <v>283</v>
      </c>
      <c r="H111" s="62">
        <f t="shared" si="0"/>
        <v>283</v>
      </c>
    </row>
    <row r="112" spans="1:54" x14ac:dyDescent="0.2">
      <c r="A112" s="22" t="s">
        <v>516</v>
      </c>
      <c r="B112" s="13" t="s">
        <v>511</v>
      </c>
      <c r="C112" s="12" t="s">
        <v>2</v>
      </c>
      <c r="D112" s="52">
        <f>IF(D110=0,0,D111/D110*100)</f>
        <v>94.903314863750339</v>
      </c>
      <c r="E112" s="52">
        <f>IF(E110=0,0,E111/E110*100)</f>
        <v>97.333399219013899</v>
      </c>
      <c r="F112" s="52">
        <f>IF(F110=0,0,F111/F110*100)</f>
        <v>92.91066098921516</v>
      </c>
      <c r="G112" s="52">
        <f>IF(G110=0,0,G111/G110*100)</f>
        <v>97.451790633608823</v>
      </c>
      <c r="H112" s="52">
        <f>IF(H110=0,0,H111/H110*100)</f>
        <v>97.451790633608823</v>
      </c>
    </row>
    <row r="113" spans="1:21" ht="14.25" customHeight="1" x14ac:dyDescent="0.2">
      <c r="A113" s="609"/>
      <c r="B113" s="609"/>
      <c r="C113" s="609"/>
      <c r="D113" s="609"/>
      <c r="E113" s="609"/>
      <c r="F113" s="609"/>
      <c r="G113" s="609"/>
      <c r="H113" s="609"/>
    </row>
    <row r="114" spans="1:21" x14ac:dyDescent="0.2">
      <c r="A114" s="22" t="s">
        <v>94</v>
      </c>
      <c r="B114" s="24" t="s">
        <v>103</v>
      </c>
      <c r="C114" s="614"/>
      <c r="D114" s="615"/>
      <c r="E114" s="615"/>
      <c r="F114" s="615"/>
      <c r="G114" s="615"/>
      <c r="H114" s="616"/>
    </row>
    <row r="115" spans="1:21" outlineLevel="1" x14ac:dyDescent="0.2">
      <c r="A115" s="22" t="s">
        <v>95</v>
      </c>
      <c r="B115" s="13" t="s">
        <v>100</v>
      </c>
      <c r="C115" s="12" t="s">
        <v>46</v>
      </c>
      <c r="D115" s="602" t="s">
        <v>812</v>
      </c>
      <c r="E115" s="603"/>
      <c r="F115" s="603"/>
      <c r="G115" s="603"/>
      <c r="H115" s="604"/>
      <c r="J115" s="420"/>
      <c r="U115" s="426"/>
    </row>
    <row r="116" spans="1:21" outlineLevel="1" x14ac:dyDescent="0.2">
      <c r="A116" s="22" t="s">
        <v>96</v>
      </c>
      <c r="B116" s="13" t="s">
        <v>101</v>
      </c>
      <c r="C116" s="512" t="s">
        <v>860</v>
      </c>
      <c r="D116" s="190">
        <f>IF($D$11=$D$115,D13,0)+IF($D$20=$D$115,D22,0)+IF($D$29=$D$115,D31,0)+IF($D$38=$D$115,D40,0)+IF($D$48=$D$115,D50,0)+IF($D$57=$D$115,D59,0)+IF($D$67=$D$115,D69,0)+IF($D$76=$D$115,D78,0)+IF($D$86=$D$115,D88,0)+IF($D$95=$D$115,D97,0)</f>
        <v>0</v>
      </c>
      <c r="E116" s="190">
        <f>IF($D$11=$D$115,E13,0)+IF($D$20=$D$115,E22,0)+IF($D$29=$D$115,E31,0)+IF($D$38=$D$115,E40,0)+IF($D$48=$D$115,E50,0)+IF($D$57=$D$115,E59,0)+IF($D$67=$D$115,E69,0)+IF($D$76=$D$115,E78,0)+IF($D$86=$D$115,E88,0)+IF($D$95=$D$115,E97,0)</f>
        <v>0</v>
      </c>
      <c r="F116" s="190">
        <f>IF($D$11=$D$115,F13,0)+IF($D$20=$D$115,F22,0)+IF($D$29=$D$115,F31,0)+IF($D$38=$D$115,F40,0)+IF($D$48=$D$115,F50,0)+IF($D$57=$D$115,F59,0)+IF($D$67=$D$115,F69,0)+IF($D$76=$D$115,F78,0)+IF($D$86=$D$115,F88,0)+IF($D$95=$D$115,F97,0)</f>
        <v>1220</v>
      </c>
      <c r="G116" s="190">
        <f>IF($D$11=$D$115,G13,0)+IF($D$20=$D$115,G22,0)+IF($D$29=$D$115,G31,0)+IF($D$38=$D$115,G40,0)+IF($D$48=$D$115,G50,0)+IF($D$57=$D$115,G59,0)+IF($D$67=$D$115,G69,0)+IF($D$76=$D$115,G78,0)+IF($D$86=$D$115,G88,0)+IF($D$95=$D$115,G97,0)</f>
        <v>4600</v>
      </c>
      <c r="H116" s="190">
        <f>IF($D$11=$D$115,H13,0)+IF($D$20=$D$115,H22,0)+IF($D$29=$D$115,H31,0)+IF($D$38=$D$115,H40,0)+IF($D$48=$D$115,H50,0)+IF($D$57=$D$115,H59,0)+IF($D$67=$D$115,H69,0)+IF($D$76=$D$115,H78,0)+IF($D$86=$D$115,H88,0)+IF($D$95=$D$115,H97,0)</f>
        <v>4600</v>
      </c>
    </row>
    <row r="117" spans="1:21" outlineLevel="1" x14ac:dyDescent="0.2">
      <c r="A117" s="22" t="s">
        <v>494</v>
      </c>
      <c r="B117" s="13" t="s">
        <v>510</v>
      </c>
      <c r="C117" s="200" t="str">
        <f>"MWh/"&amp;C116</f>
        <v>MWh/pm3</v>
      </c>
      <c r="D117" s="52">
        <f>IF(D116=0,0,D118/D116)</f>
        <v>0</v>
      </c>
      <c r="E117" s="52">
        <f>IF(E116=0,0,E118/E116)</f>
        <v>0</v>
      </c>
      <c r="F117" s="52">
        <f>IF(F116=0,0,F118/F116)</f>
        <v>0.81</v>
      </c>
      <c r="G117" s="52">
        <f>IF(G116=0,0,G118/G116)</f>
        <v>0.81</v>
      </c>
      <c r="H117" s="52">
        <f>IF(H116=0,0,H118/H116)</f>
        <v>0.81</v>
      </c>
    </row>
    <row r="118" spans="1:21" outlineLevel="1" x14ac:dyDescent="0.2">
      <c r="A118" s="22" t="s">
        <v>495</v>
      </c>
      <c r="B118" s="13" t="s">
        <v>440</v>
      </c>
      <c r="C118" s="12" t="s">
        <v>1</v>
      </c>
      <c r="D118" s="62">
        <f t="shared" ref="D118:H119" si="1">IF($D$11=$D$115,D15,0)+IF($D$20=$D$115,D24,0)+IF($D$29=$D$115,D33,0)+IF($D$38=$D$115,D42,0)+IF($D$48=$D$115,D52,0)+IF($D$57=$D$115,D61,0)+IF($D$67=$D$115,D71,0)+IF($D$76=$D$115,D80,0)+IF($D$86=$D$115,D90,0)+IF($D$95=$D$115,D99,0)</f>
        <v>0</v>
      </c>
      <c r="E118" s="62">
        <f t="shared" si="1"/>
        <v>0</v>
      </c>
      <c r="F118" s="62">
        <f t="shared" si="1"/>
        <v>988.2</v>
      </c>
      <c r="G118" s="62">
        <f t="shared" si="1"/>
        <v>3726.0000000000005</v>
      </c>
      <c r="H118" s="62">
        <f t="shared" si="1"/>
        <v>3726.0000000000005</v>
      </c>
    </row>
    <row r="119" spans="1:21" outlineLevel="1" x14ac:dyDescent="0.2">
      <c r="A119" s="22" t="s">
        <v>496</v>
      </c>
      <c r="B119" s="13" t="s">
        <v>102</v>
      </c>
      <c r="C119" s="12" t="s">
        <v>1</v>
      </c>
      <c r="D119" s="62">
        <f t="shared" si="1"/>
        <v>0</v>
      </c>
      <c r="E119" s="62">
        <f t="shared" si="1"/>
        <v>0</v>
      </c>
      <c r="F119" s="62">
        <f t="shared" si="1"/>
        <v>871.2</v>
      </c>
      <c r="G119" s="62">
        <f t="shared" si="1"/>
        <v>3300</v>
      </c>
      <c r="H119" s="62">
        <f t="shared" si="1"/>
        <v>3300</v>
      </c>
    </row>
    <row r="120" spans="1:21" outlineLevel="1" x14ac:dyDescent="0.2">
      <c r="A120" s="22" t="s">
        <v>518</v>
      </c>
      <c r="B120" s="13" t="s">
        <v>511</v>
      </c>
      <c r="C120" s="12" t="s">
        <v>2</v>
      </c>
      <c r="D120" s="52">
        <f>IF(D118=0,0,D119/D118*100)</f>
        <v>0</v>
      </c>
      <c r="E120" s="52">
        <f>IF(E118=0,0,E119/E118*100)</f>
        <v>0</v>
      </c>
      <c r="F120" s="52">
        <f>IF(F118=0,0,F119/F118*100)</f>
        <v>88.160291438979968</v>
      </c>
      <c r="G120" s="52">
        <f>IF(G118=0,0,G119/G118*100)</f>
        <v>88.566827697262468</v>
      </c>
      <c r="H120" s="52">
        <f>IF(H118=0,0,H119/H118*100)</f>
        <v>88.566827697262468</v>
      </c>
    </row>
    <row r="121" spans="1:21" x14ac:dyDescent="0.2">
      <c r="A121" s="609"/>
      <c r="B121" s="609"/>
      <c r="C121" s="609"/>
      <c r="D121" s="609"/>
      <c r="E121" s="609"/>
      <c r="F121" s="609"/>
      <c r="G121" s="609"/>
      <c r="H121" s="609"/>
    </row>
    <row r="122" spans="1:21" x14ac:dyDescent="0.2">
      <c r="A122" s="22" t="s">
        <v>139</v>
      </c>
      <c r="B122" s="24" t="s">
        <v>107</v>
      </c>
      <c r="C122" s="614"/>
      <c r="D122" s="615"/>
      <c r="E122" s="615"/>
      <c r="F122" s="615"/>
      <c r="G122" s="615"/>
      <c r="H122" s="616"/>
    </row>
    <row r="123" spans="1:21" outlineLevel="1" x14ac:dyDescent="0.2">
      <c r="A123" s="22" t="s">
        <v>190</v>
      </c>
      <c r="B123" s="13" t="s">
        <v>100</v>
      </c>
      <c r="C123" s="12" t="s">
        <v>46</v>
      </c>
      <c r="D123" s="602" t="s">
        <v>515</v>
      </c>
      <c r="E123" s="603"/>
      <c r="F123" s="603"/>
      <c r="G123" s="603"/>
      <c r="H123" s="604"/>
    </row>
    <row r="124" spans="1:21" outlineLevel="1" x14ac:dyDescent="0.2">
      <c r="A124" s="22" t="s">
        <v>191</v>
      </c>
      <c r="B124" s="13" t="s">
        <v>101</v>
      </c>
      <c r="C124" s="199" t="s">
        <v>263</v>
      </c>
      <c r="D124" s="190">
        <f>IF($D$11=$D$123,D13,0)+IF($D$20=$D$123,D22,0)+IF($D$29=$D$123,D31,0)+IF($D$38=$D$123,D40,0)+IF($D$48=$D$123,D50,0)+IF($D$57=$D$123,D59,0)+IF($D$67=$D$123,D69,0)+IF($D$76=$D$123,D78,0)+IF($D$86=$D$123,D88,0)+IF($D$95=$D$123,D97,0)</f>
        <v>0</v>
      </c>
      <c r="E124" s="190">
        <f>IF($D$11=$D$123,E13,0)+IF($D$20=$D$123,E22,0)+IF($D$29=$D$123,E31,0)+IF($D$38=$D$123,E40,0)+IF($D$48=$D$123,E50,0)+IF($D$57=$D$123,E59,0)+IF($D$67=$D$123,E69,0)+IF($D$76=$D$123,E78,0)+IF($D$86=$D$123,E88,0)+IF($D$95=$D$123,E97,0)</f>
        <v>0</v>
      </c>
      <c r="F124" s="190">
        <f>IF($D$11=$D$123,F13,0)+IF($D$20=$D$123,F22,0)+IF($D$29=$D$123,F31,0)+IF($D$38=$D$123,F40,0)+IF($D$48=$D$123,F50,0)+IF($D$57=$D$123,F59,0)+IF($D$67=$D$123,F69,0)+IF($D$76=$D$123,F78,0)+IF($D$86=$D$123,F88,0)+IF($D$95=$D$123,F97,0)</f>
        <v>0</v>
      </c>
      <c r="G124" s="190">
        <f>IF($D$11=$D$123,G13,0)+IF($D$20=$D$123,G22,0)+IF($D$29=$D$123,G31,0)+IF($D$38=$D$123,G40,0)+IF($D$48=$D$123,G50,0)+IF($D$57=$D$123,G59,0)+IF($D$67=$D$123,G69,0)+IF($D$76=$D$123,G78,0)+IF($D$86=$D$123,G88,0)+IF($D$95=$D$123,G97,0)</f>
        <v>0</v>
      </c>
      <c r="H124" s="190">
        <f>IF($D$11=$D$123,H13,0)+IF($D$20=$D$123,H22,0)+IF($D$29=$D$123,H31,0)+IF($D$38=$D$123,H40,0)+IF($D$48=$D$123,H50,0)+IF($D$57=$D$123,H59,0)+IF($D$67=$D$123,H69,0)+IF($D$76=$D$123,H78,0)+IF($D$86=$D$123,H88,0)+IF($D$95=$D$123,H97,0)</f>
        <v>0</v>
      </c>
    </row>
    <row r="125" spans="1:21" outlineLevel="1" x14ac:dyDescent="0.2">
      <c r="A125" s="22" t="s">
        <v>497</v>
      </c>
      <c r="B125" s="13" t="s">
        <v>510</v>
      </c>
      <c r="C125" s="200" t="str">
        <f>"MWh/"&amp;C124</f>
        <v>MWh/(ühik)</v>
      </c>
      <c r="D125" s="52">
        <f>IF(D124=0,0,D126/D124)</f>
        <v>0</v>
      </c>
      <c r="E125" s="52">
        <f>IF(E124=0,0,E126/E124)</f>
        <v>0</v>
      </c>
      <c r="F125" s="52">
        <f>IF(F124=0,0,F126/F124)</f>
        <v>0</v>
      </c>
      <c r="G125" s="52">
        <f>IF(G124=0,0,G126/G124)</f>
        <v>0</v>
      </c>
      <c r="H125" s="52">
        <f>IF(H124=0,0,H126/H124)</f>
        <v>0</v>
      </c>
    </row>
    <row r="126" spans="1:21" outlineLevel="1" x14ac:dyDescent="0.2">
      <c r="A126" s="22" t="s">
        <v>498</v>
      </c>
      <c r="B126" s="13" t="s">
        <v>440</v>
      </c>
      <c r="C126" s="12" t="s">
        <v>1</v>
      </c>
      <c r="D126" s="62">
        <f t="shared" ref="D126:H127" si="2">IF($D$11=$D$123,D15,0)+IF($D$20=$D$123,D24,0)+IF($D$29=$D$123,D33,0)+IF($D$38=$D$123,D42,0)+IF($D$48=$D$123,D52,0)+IF($D$57=$D$123,D61,0)+IF($D$67=$D$123,D71,0)+IF($D$76=$D$123,D80,0)+IF($D$86=$D$123,D90,0)+IF($D$95=$D$123,D99,0)</f>
        <v>0</v>
      </c>
      <c r="E126" s="62">
        <f t="shared" si="2"/>
        <v>0</v>
      </c>
      <c r="F126" s="62">
        <f t="shared" si="2"/>
        <v>0</v>
      </c>
      <c r="G126" s="62">
        <f t="shared" si="2"/>
        <v>0</v>
      </c>
      <c r="H126" s="62">
        <f t="shared" si="2"/>
        <v>0</v>
      </c>
    </row>
    <row r="127" spans="1:21" outlineLevel="1" x14ac:dyDescent="0.2">
      <c r="A127" s="22" t="s">
        <v>499</v>
      </c>
      <c r="B127" s="13" t="s">
        <v>102</v>
      </c>
      <c r="C127" s="12" t="s">
        <v>1</v>
      </c>
      <c r="D127" s="62">
        <f t="shared" si="2"/>
        <v>0</v>
      </c>
      <c r="E127" s="62">
        <f t="shared" si="2"/>
        <v>0</v>
      </c>
      <c r="F127" s="62">
        <f t="shared" si="2"/>
        <v>0</v>
      </c>
      <c r="G127" s="62">
        <f t="shared" si="2"/>
        <v>0</v>
      </c>
      <c r="H127" s="62">
        <f t="shared" si="2"/>
        <v>0</v>
      </c>
    </row>
    <row r="128" spans="1:21" outlineLevel="1" x14ac:dyDescent="0.2">
      <c r="A128" s="22" t="s">
        <v>517</v>
      </c>
      <c r="B128" s="13" t="s">
        <v>511</v>
      </c>
      <c r="C128" s="12" t="s">
        <v>2</v>
      </c>
      <c r="D128" s="52">
        <f>IF(D126=0,0,D127/D126*100)</f>
        <v>0</v>
      </c>
      <c r="E128" s="52">
        <f>IF(E126=0,0,E127/E126*100)</f>
        <v>0</v>
      </c>
      <c r="F128" s="52">
        <f>IF(F126=0,0,F127/F126*100)</f>
        <v>0</v>
      </c>
      <c r="G128" s="52">
        <f>IF(G126=0,0,G127/G126*100)</f>
        <v>0</v>
      </c>
      <c r="H128" s="52">
        <f>IF(H126=0,0,H127/H126*100)</f>
        <v>0</v>
      </c>
    </row>
    <row r="129" spans="1:54" x14ac:dyDescent="0.2">
      <c r="A129" s="609"/>
      <c r="B129" s="609"/>
      <c r="C129" s="609"/>
      <c r="D129" s="609"/>
      <c r="E129" s="609"/>
      <c r="F129" s="609"/>
      <c r="G129" s="609"/>
      <c r="H129" s="609"/>
    </row>
    <row r="130" spans="1:54" x14ac:dyDescent="0.2">
      <c r="A130" s="22" t="s">
        <v>500</v>
      </c>
      <c r="B130" s="24" t="s">
        <v>110</v>
      </c>
      <c r="C130" s="25" t="s">
        <v>1</v>
      </c>
      <c r="D130" s="191">
        <f t="shared" ref="D130:H131" si="3">D110+D118+D126</f>
        <v>3219.0656399999998</v>
      </c>
      <c r="E130" s="191">
        <f t="shared" si="3"/>
        <v>3056.60752</v>
      </c>
      <c r="F130" s="191">
        <f t="shared" si="3"/>
        <v>3214.5322400000005</v>
      </c>
      <c r="G130" s="191">
        <f>G110+G118+G126</f>
        <v>4016.4000000000005</v>
      </c>
      <c r="H130" s="191">
        <f t="shared" si="3"/>
        <v>4016.4000000000005</v>
      </c>
    </row>
    <row r="131" spans="1:54" x14ac:dyDescent="0.2">
      <c r="A131" s="22" t="s">
        <v>501</v>
      </c>
      <c r="B131" s="24" t="s">
        <v>519</v>
      </c>
      <c r="C131" s="25" t="s">
        <v>1</v>
      </c>
      <c r="D131" s="191">
        <f t="shared" si="3"/>
        <v>3055</v>
      </c>
      <c r="E131" s="191">
        <f t="shared" si="3"/>
        <v>2975.1</v>
      </c>
      <c r="F131" s="191">
        <f t="shared" si="3"/>
        <v>2939.7</v>
      </c>
      <c r="G131" s="191">
        <f t="shared" si="3"/>
        <v>3583</v>
      </c>
      <c r="H131" s="191">
        <f t="shared" si="3"/>
        <v>3583</v>
      </c>
    </row>
    <row r="132" spans="1:54" x14ac:dyDescent="0.2">
      <c r="A132" s="22" t="s">
        <v>502</v>
      </c>
      <c r="B132" s="13" t="s">
        <v>111</v>
      </c>
      <c r="C132" s="12" t="s">
        <v>2</v>
      </c>
      <c r="D132" s="52">
        <f>IF(D130=0,0,D131/D130*100)</f>
        <v>94.903314863750339</v>
      </c>
      <c r="E132" s="52">
        <f>IF(E130=0,0,E131/E130*100)</f>
        <v>97.333399219013899</v>
      </c>
      <c r="F132" s="52">
        <f>IF(F130=0,0,F131/F130*100)</f>
        <v>91.450319378349093</v>
      </c>
      <c r="G132" s="52">
        <f>IF(G130=0,0,G131/G130*100)</f>
        <v>89.209242107359813</v>
      </c>
      <c r="H132" s="52">
        <f>IF(H130=0,0,H131/H130*100)</f>
        <v>89.209242107359813</v>
      </c>
    </row>
    <row r="133" spans="1:54" x14ac:dyDescent="0.2">
      <c r="A133" s="22" t="s">
        <v>503</v>
      </c>
      <c r="B133" s="24" t="s">
        <v>124</v>
      </c>
      <c r="C133" s="25" t="s">
        <v>1</v>
      </c>
      <c r="D133" s="191">
        <f>SUM(D134:D137)</f>
        <v>0</v>
      </c>
      <c r="E133" s="191">
        <f>SUM(E134:E137)</f>
        <v>0</v>
      </c>
      <c r="F133" s="191">
        <f>SUM(F134:F137)</f>
        <v>0</v>
      </c>
      <c r="G133" s="191">
        <f>SUM(G134:G137)</f>
        <v>0</v>
      </c>
      <c r="H133" s="191">
        <f>SUM(H134:H137)</f>
        <v>0</v>
      </c>
    </row>
    <row r="134" spans="1:54" x14ac:dyDescent="0.2">
      <c r="A134" s="22" t="s">
        <v>504</v>
      </c>
      <c r="B134" s="487" t="s">
        <v>779</v>
      </c>
      <c r="C134" s="44" t="s">
        <v>1</v>
      </c>
      <c r="D134" s="192"/>
      <c r="E134" s="192"/>
      <c r="F134" s="192"/>
      <c r="G134" s="192"/>
      <c r="H134" s="192"/>
    </row>
    <row r="135" spans="1:54" hidden="1" outlineLevel="1" x14ac:dyDescent="0.2">
      <c r="A135" s="22" t="s">
        <v>505</v>
      </c>
      <c r="B135" s="487" t="s">
        <v>780</v>
      </c>
      <c r="C135" s="44" t="s">
        <v>1</v>
      </c>
      <c r="D135" s="192"/>
      <c r="E135" s="192"/>
      <c r="F135" s="192"/>
      <c r="G135" s="192"/>
      <c r="H135" s="192"/>
    </row>
    <row r="136" spans="1:54" hidden="1" outlineLevel="1" x14ac:dyDescent="0.2">
      <c r="A136" s="22" t="s">
        <v>506</v>
      </c>
      <c r="B136" s="487" t="s">
        <v>781</v>
      </c>
      <c r="C136" s="44" t="s">
        <v>1</v>
      </c>
      <c r="D136" s="192"/>
      <c r="E136" s="192"/>
      <c r="F136" s="192"/>
      <c r="G136" s="192"/>
      <c r="H136" s="192"/>
    </row>
    <row r="137" spans="1:54" hidden="1" outlineLevel="1" x14ac:dyDescent="0.2">
      <c r="A137" s="22" t="s">
        <v>507</v>
      </c>
      <c r="B137" s="487" t="s">
        <v>782</v>
      </c>
      <c r="C137" s="44" t="s">
        <v>1</v>
      </c>
      <c r="D137" s="192"/>
      <c r="E137" s="192"/>
      <c r="F137" s="192"/>
      <c r="G137" s="192"/>
      <c r="H137" s="192"/>
    </row>
    <row r="138" spans="1:54" collapsed="1" x14ac:dyDescent="0.2">
      <c r="A138" s="22" t="s">
        <v>508</v>
      </c>
      <c r="B138" s="24" t="s">
        <v>341</v>
      </c>
      <c r="C138" s="25" t="s">
        <v>1</v>
      </c>
      <c r="D138" s="191">
        <f>D131+D133</f>
        <v>3055</v>
      </c>
      <c r="E138" s="191">
        <f>E131+E133</f>
        <v>2975.1</v>
      </c>
      <c r="F138" s="191">
        <f>F131+F133</f>
        <v>2939.7</v>
      </c>
      <c r="G138" s="191">
        <f>G131+G133</f>
        <v>3583</v>
      </c>
      <c r="H138" s="191">
        <f>H131+H133</f>
        <v>3583</v>
      </c>
    </row>
    <row r="139" spans="1:54" x14ac:dyDescent="0.2">
      <c r="A139" s="608"/>
      <c r="B139" s="609"/>
      <c r="C139" s="609"/>
      <c r="D139" s="609"/>
      <c r="E139" s="609"/>
      <c r="F139" s="609"/>
      <c r="G139" s="609"/>
      <c r="H139" s="610"/>
    </row>
    <row r="140" spans="1:54" s="131" customFormat="1" ht="14.25" x14ac:dyDescent="0.2">
      <c r="A140" s="187" t="s">
        <v>97</v>
      </c>
      <c r="B140" s="18" t="s">
        <v>622</v>
      </c>
      <c r="C140" s="614"/>
      <c r="D140" s="615"/>
      <c r="E140" s="615"/>
      <c r="F140" s="615"/>
      <c r="G140" s="615"/>
      <c r="H140" s="616"/>
      <c r="I140" s="420"/>
      <c r="J140" s="418"/>
      <c r="K140" s="420"/>
      <c r="L140" s="420"/>
      <c r="M140" s="420"/>
      <c r="N140" s="420"/>
      <c r="O140" s="420"/>
      <c r="P140" s="420"/>
      <c r="Q140" s="420"/>
      <c r="R140" s="420"/>
      <c r="S140" s="420"/>
      <c r="T140" s="420"/>
      <c r="U140" s="425"/>
      <c r="V140" s="420"/>
      <c r="W140" s="420"/>
      <c r="X140" s="420"/>
      <c r="Y140" s="420"/>
      <c r="Z140" s="420"/>
      <c r="AA140" s="420"/>
      <c r="AB140" s="420"/>
      <c r="AC140" s="420"/>
      <c r="AD140" s="420"/>
      <c r="AE140" s="420"/>
      <c r="AF140" s="420"/>
      <c r="AG140" s="420"/>
      <c r="AH140" s="420"/>
      <c r="AI140" s="420"/>
      <c r="AJ140" s="420"/>
      <c r="AK140" s="420"/>
      <c r="AL140" s="420"/>
      <c r="AM140" s="420"/>
      <c r="AN140" s="420"/>
      <c r="AO140" s="420"/>
      <c r="AP140" s="420"/>
      <c r="AQ140" s="420"/>
      <c r="AR140" s="420"/>
      <c r="AS140" s="420"/>
      <c r="AT140" s="420"/>
      <c r="AU140" s="420"/>
      <c r="AV140" s="420"/>
      <c r="AW140" s="420"/>
      <c r="AX140" s="420"/>
      <c r="AY140" s="420"/>
      <c r="AZ140" s="420"/>
      <c r="BA140" s="420"/>
      <c r="BB140" s="420"/>
    </row>
    <row r="141" spans="1:54" x14ac:dyDescent="0.2">
      <c r="A141" s="187" t="s">
        <v>98</v>
      </c>
      <c r="B141" s="24" t="s">
        <v>112</v>
      </c>
      <c r="C141" s="25" t="s">
        <v>1</v>
      </c>
      <c r="D141" s="192">
        <v>2471.0259999999998</v>
      </c>
      <c r="E141" s="192">
        <v>2304.192</v>
      </c>
      <c r="F141" s="192">
        <f>1755.5028+319.947+360.069</f>
        <v>2435.5187999999998</v>
      </c>
      <c r="G141" s="192">
        <v>3050</v>
      </c>
      <c r="H141" s="192">
        <v>3050</v>
      </c>
      <c r="I141" s="123"/>
    </row>
    <row r="142" spans="1:54" x14ac:dyDescent="0.2">
      <c r="A142" s="22" t="s">
        <v>104</v>
      </c>
      <c r="B142" s="13" t="s">
        <v>437</v>
      </c>
      <c r="C142" s="12" t="s">
        <v>16</v>
      </c>
      <c r="D142" s="62">
        <f>D143+D144</f>
        <v>17</v>
      </c>
      <c r="E142" s="62">
        <f>E143+E144</f>
        <v>17</v>
      </c>
      <c r="F142" s="62">
        <f>F143+F144</f>
        <v>19</v>
      </c>
      <c r="G142" s="62">
        <f>G143+G144</f>
        <v>19</v>
      </c>
      <c r="H142" s="62">
        <v>20</v>
      </c>
      <c r="I142" s="123"/>
    </row>
    <row r="143" spans="1:54" x14ac:dyDescent="0.2">
      <c r="A143" s="22" t="s">
        <v>105</v>
      </c>
      <c r="B143" s="488" t="s">
        <v>783</v>
      </c>
      <c r="C143" s="12" t="s">
        <v>16</v>
      </c>
      <c r="D143" s="103">
        <v>15</v>
      </c>
      <c r="E143" s="103">
        <v>16</v>
      </c>
      <c r="F143" s="103">
        <v>18</v>
      </c>
      <c r="G143" s="103">
        <v>18</v>
      </c>
      <c r="H143" s="103">
        <v>19</v>
      </c>
      <c r="I143" s="500"/>
      <c r="L143" s="500"/>
      <c r="N143" s="500"/>
    </row>
    <row r="144" spans="1:54" x14ac:dyDescent="0.2">
      <c r="A144" s="22" t="s">
        <v>106</v>
      </c>
      <c r="B144" s="488" t="s">
        <v>784</v>
      </c>
      <c r="C144" s="12" t="s">
        <v>16</v>
      </c>
      <c r="D144" s="103">
        <v>2</v>
      </c>
      <c r="E144" s="103">
        <v>1</v>
      </c>
      <c r="F144" s="513">
        <v>1</v>
      </c>
      <c r="G144" s="513">
        <v>1</v>
      </c>
      <c r="H144" s="513">
        <v>1</v>
      </c>
      <c r="I144" s="500"/>
      <c r="J144" s="499"/>
    </row>
    <row r="145" spans="1:54" x14ac:dyDescent="0.2">
      <c r="A145" s="22" t="s">
        <v>108</v>
      </c>
      <c r="B145" s="13" t="s">
        <v>14</v>
      </c>
      <c r="C145" s="12" t="s">
        <v>15</v>
      </c>
      <c r="D145" s="58">
        <v>1.73</v>
      </c>
      <c r="E145" s="58">
        <v>1.73</v>
      </c>
      <c r="F145" s="109">
        <f>1.73+0.2757</f>
        <v>2.0057</v>
      </c>
      <c r="G145" s="109">
        <f>1.73+0.2757</f>
        <v>2.0057</v>
      </c>
      <c r="H145" s="109">
        <f>1.73+0.2757</f>
        <v>2.0057</v>
      </c>
      <c r="I145" s="500"/>
    </row>
    <row r="146" spans="1:54" x14ac:dyDescent="0.2">
      <c r="A146" s="617" t="s">
        <v>109</v>
      </c>
      <c r="B146" s="621" t="s">
        <v>785</v>
      </c>
      <c r="C146" s="12" t="s">
        <v>15</v>
      </c>
      <c r="D146" s="58">
        <v>1.73</v>
      </c>
      <c r="E146" s="58">
        <v>1.73</v>
      </c>
      <c r="F146" s="58">
        <v>1.73</v>
      </c>
      <c r="G146" s="58">
        <v>1.73</v>
      </c>
      <c r="H146" s="58">
        <v>1.73</v>
      </c>
      <c r="I146" s="500"/>
    </row>
    <row r="147" spans="1:54" x14ac:dyDescent="0.2">
      <c r="A147" s="618"/>
      <c r="B147" s="622"/>
      <c r="C147" s="12" t="s">
        <v>2</v>
      </c>
      <c r="D147" s="30">
        <f>IF(D146&lt;&gt;0,D146/D145*100,0)</f>
        <v>100</v>
      </c>
      <c r="E147" s="30">
        <f>IF(E146&lt;&gt;0,E146/E145*100,0)</f>
        <v>100</v>
      </c>
      <c r="F147" s="30">
        <f>IF(F146&lt;&gt;0,F146/F145*100,0)</f>
        <v>86.254175599541298</v>
      </c>
      <c r="G147" s="30">
        <f>IF(G146&lt;&gt;0,G146/G145*100,0)</f>
        <v>86.254175599541298</v>
      </c>
      <c r="H147" s="30">
        <f>IF(H146&lt;&gt;0,H146/H145*100,0)</f>
        <v>86.254175599541298</v>
      </c>
    </row>
    <row r="148" spans="1:54" s="131" customFormat="1" x14ac:dyDescent="0.2">
      <c r="A148" s="619" t="s">
        <v>230</v>
      </c>
      <c r="B148" s="620" t="s">
        <v>3</v>
      </c>
      <c r="C148" s="25" t="s">
        <v>1</v>
      </c>
      <c r="D148" s="191">
        <f>D138-D141</f>
        <v>583.97400000000016</v>
      </c>
      <c r="E148" s="191">
        <f>E138-E141</f>
        <v>670.9079999999999</v>
      </c>
      <c r="F148" s="191">
        <f>F138-F141</f>
        <v>504.18119999999999</v>
      </c>
      <c r="G148" s="191">
        <f>G138-G141</f>
        <v>533</v>
      </c>
      <c r="H148" s="191">
        <f>H138-H141</f>
        <v>533</v>
      </c>
      <c r="I148" s="420"/>
      <c r="J148" s="418"/>
      <c r="K148" s="420"/>
      <c r="L148" s="420"/>
      <c r="M148" s="420"/>
      <c r="N148" s="420"/>
      <c r="O148" s="420"/>
      <c r="P148" s="420"/>
      <c r="Q148" s="420"/>
      <c r="R148" s="420"/>
      <c r="S148" s="420"/>
      <c r="T148" s="420"/>
      <c r="U148" s="425"/>
      <c r="V148" s="420"/>
      <c r="W148" s="420"/>
      <c r="X148" s="420"/>
      <c r="Y148" s="420"/>
      <c r="Z148" s="420"/>
      <c r="AA148" s="420"/>
      <c r="AB148" s="420"/>
      <c r="AC148" s="420"/>
      <c r="AD148" s="420"/>
      <c r="AE148" s="420"/>
      <c r="AF148" s="420"/>
      <c r="AG148" s="420"/>
      <c r="AH148" s="420"/>
      <c r="AI148" s="420"/>
      <c r="AJ148" s="420"/>
      <c r="AK148" s="420"/>
      <c r="AL148" s="420"/>
      <c r="AM148" s="420"/>
      <c r="AN148" s="420"/>
      <c r="AO148" s="420"/>
      <c r="AP148" s="420"/>
      <c r="AQ148" s="420"/>
      <c r="AR148" s="420"/>
      <c r="AS148" s="420"/>
      <c r="AT148" s="420"/>
      <c r="AU148" s="420"/>
      <c r="AV148" s="420"/>
      <c r="AW148" s="420"/>
      <c r="AX148" s="420"/>
      <c r="AY148" s="420"/>
      <c r="AZ148" s="420"/>
      <c r="BA148" s="420"/>
      <c r="BB148" s="420"/>
    </row>
    <row r="149" spans="1:54" s="131" customFormat="1" x14ac:dyDescent="0.2">
      <c r="A149" s="619"/>
      <c r="B149" s="620"/>
      <c r="C149" s="25" t="s">
        <v>2</v>
      </c>
      <c r="D149" s="130">
        <f>IF(D138=0,0,D148/(D131+D133)*100)</f>
        <v>19.115351882160397</v>
      </c>
      <c r="E149" s="130">
        <f>IF(E138=0,0,E148/(E131+E133)*100)</f>
        <v>22.550771402641924</v>
      </c>
      <c r="F149" s="130">
        <f>IF(F138=0,0,F148/(F131+F133)*100)</f>
        <v>17.150770486784367</v>
      </c>
      <c r="G149" s="130">
        <f>IF(G138=0,0,G148/(G131+G133)*100)</f>
        <v>14.875802400223275</v>
      </c>
      <c r="H149" s="130">
        <f>IF(H138=0,0,H148/(H131+H133)*100)</f>
        <v>14.875802400223275</v>
      </c>
      <c r="I149" s="420"/>
      <c r="J149" s="420"/>
      <c r="K149" s="420"/>
      <c r="L149" s="420"/>
      <c r="M149" s="420"/>
      <c r="N149" s="420"/>
      <c r="O149" s="420"/>
      <c r="P149" s="420"/>
      <c r="Q149" s="420"/>
      <c r="R149" s="420"/>
      <c r="S149" s="420"/>
      <c r="T149" s="420"/>
      <c r="U149" s="425"/>
      <c r="V149" s="420"/>
      <c r="W149" s="420"/>
      <c r="X149" s="420"/>
      <c r="Y149" s="420"/>
      <c r="Z149" s="420"/>
      <c r="AA149" s="420"/>
      <c r="AB149" s="420"/>
      <c r="AC149" s="420"/>
      <c r="AD149" s="420"/>
      <c r="AE149" s="420"/>
      <c r="AF149" s="420"/>
      <c r="AG149" s="420"/>
      <c r="AH149" s="420"/>
      <c r="AI149" s="420"/>
      <c r="AJ149" s="420"/>
      <c r="AK149" s="420"/>
      <c r="AL149" s="420"/>
      <c r="AM149" s="420"/>
      <c r="AN149" s="420"/>
      <c r="AO149" s="420"/>
      <c r="AP149" s="420"/>
      <c r="AQ149" s="420"/>
      <c r="AR149" s="420"/>
      <c r="AS149" s="420"/>
      <c r="AT149" s="420"/>
      <c r="AU149" s="420"/>
      <c r="AV149" s="420"/>
      <c r="AW149" s="420"/>
      <c r="AX149" s="420"/>
      <c r="AY149" s="420"/>
      <c r="AZ149" s="420"/>
      <c r="BA149" s="420"/>
      <c r="BB149" s="420"/>
    </row>
    <row r="150" spans="1:54" ht="12.75" customHeight="1" x14ac:dyDescent="0.2">
      <c r="A150" s="22" t="s">
        <v>231</v>
      </c>
      <c r="B150" s="126" t="s">
        <v>350</v>
      </c>
      <c r="C150" s="12" t="s">
        <v>114</v>
      </c>
      <c r="D150" s="62">
        <f>IF(D145=0,0,D141/D145)</f>
        <v>1428.3387283236993</v>
      </c>
      <c r="E150" s="62">
        <f>IF(E145=0,0,E141/E145)</f>
        <v>1331.9028901734105</v>
      </c>
      <c r="F150" s="62">
        <f>IF(F145=0,0,F141/F145)</f>
        <v>1214.2986488507752</v>
      </c>
      <c r="G150" s="62">
        <f>IF(G145=0,0,G141/G145)</f>
        <v>1520.6661016104104</v>
      </c>
      <c r="H150" s="62">
        <f>IF(H145=0,0,H141/H145)</f>
        <v>1520.6661016104104</v>
      </c>
      <c r="U150" s="426"/>
    </row>
    <row r="151" spans="1:54" x14ac:dyDescent="0.2">
      <c r="A151" s="22" t="s">
        <v>232</v>
      </c>
      <c r="B151" s="126" t="s">
        <v>113</v>
      </c>
      <c r="C151" s="12" t="s">
        <v>114</v>
      </c>
      <c r="D151" s="62">
        <f>IF(D145=0,0,D148/D145)</f>
        <v>337.55722543352613</v>
      </c>
      <c r="E151" s="62">
        <f>IF(E145=0,0,E148/E145)</f>
        <v>387.80809248554908</v>
      </c>
      <c r="F151" s="62">
        <f>IF(F145=0,0,F148/F145)</f>
        <v>251.3741835768061</v>
      </c>
      <c r="G151" s="62">
        <f>IF(G145=0,0,G148/G145)</f>
        <v>265.74263349454054</v>
      </c>
      <c r="H151" s="62">
        <f>IF(H145=0,0,H148/H145)</f>
        <v>265.74263349454054</v>
      </c>
    </row>
    <row r="152" spans="1:54" x14ac:dyDescent="0.2">
      <c r="A152" s="609"/>
      <c r="B152" s="609"/>
      <c r="C152" s="609"/>
      <c r="D152" s="609"/>
      <c r="E152" s="609"/>
      <c r="F152" s="609"/>
      <c r="G152" s="609"/>
      <c r="H152" s="609"/>
    </row>
    <row r="153" spans="1:54" s="38" customFormat="1" ht="14.25" x14ac:dyDescent="0.2">
      <c r="A153" s="22" t="s">
        <v>115</v>
      </c>
      <c r="B153" s="18" t="s">
        <v>116</v>
      </c>
      <c r="C153" s="611"/>
      <c r="D153" s="612"/>
      <c r="E153" s="612"/>
      <c r="F153" s="612"/>
      <c r="G153" s="612"/>
      <c r="H153" s="613"/>
      <c r="I153" s="421"/>
      <c r="J153" s="498"/>
      <c r="K153" s="503"/>
      <c r="L153" s="503"/>
      <c r="M153" s="503"/>
      <c r="N153" s="503"/>
      <c r="O153" s="503"/>
      <c r="P153" s="421"/>
      <c r="Q153" s="421"/>
      <c r="R153" s="421"/>
      <c r="S153" s="421"/>
      <c r="T153" s="421"/>
      <c r="U153" s="425"/>
      <c r="V153" s="421"/>
      <c r="W153" s="421"/>
      <c r="X153" s="421"/>
      <c r="Y153" s="421"/>
      <c r="Z153" s="421"/>
      <c r="AA153" s="421"/>
      <c r="AB153" s="421"/>
      <c r="AC153" s="421"/>
      <c r="AD153" s="421"/>
      <c r="AE153" s="421"/>
      <c r="AF153" s="421"/>
      <c r="AG153" s="421"/>
      <c r="AH153" s="421"/>
      <c r="AI153" s="421"/>
      <c r="AJ153" s="421"/>
      <c r="AK153" s="421"/>
      <c r="AL153" s="421"/>
      <c r="AM153" s="421"/>
      <c r="AN153" s="421"/>
      <c r="AO153" s="421"/>
      <c r="AP153" s="421"/>
      <c r="AQ153" s="421"/>
      <c r="AR153" s="421"/>
      <c r="AS153" s="421"/>
      <c r="AT153" s="421"/>
      <c r="AU153" s="421"/>
      <c r="AV153" s="421"/>
      <c r="AW153" s="421"/>
      <c r="AX153" s="421"/>
      <c r="AY153" s="421"/>
      <c r="AZ153" s="421"/>
      <c r="BA153" s="421"/>
      <c r="BB153" s="421"/>
    </row>
    <row r="154" spans="1:54" s="38" customFormat="1" x14ac:dyDescent="0.2">
      <c r="A154" s="22" t="s">
        <v>117</v>
      </c>
      <c r="B154" s="20" t="s">
        <v>621</v>
      </c>
      <c r="C154" s="12" t="s">
        <v>19</v>
      </c>
      <c r="D154" s="62">
        <f>D156+D155</f>
        <v>54244.141000000003</v>
      </c>
      <c r="E154" s="62">
        <f>E156+E155</f>
        <v>78018.311000000002</v>
      </c>
      <c r="F154" s="62">
        <f>F156+F155</f>
        <v>69321</v>
      </c>
      <c r="G154" s="62">
        <f>G156+G155</f>
        <v>65484</v>
      </c>
      <c r="H154" s="62">
        <f>H156+H155</f>
        <v>65484</v>
      </c>
      <c r="I154" s="421"/>
      <c r="J154" s="418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5"/>
      <c r="V154" s="421"/>
      <c r="W154" s="421"/>
      <c r="X154" s="421"/>
      <c r="Y154" s="421"/>
      <c r="Z154" s="421"/>
      <c r="AA154" s="421"/>
      <c r="AB154" s="421"/>
      <c r="AC154" s="421"/>
      <c r="AD154" s="421"/>
      <c r="AE154" s="421"/>
      <c r="AF154" s="421"/>
      <c r="AG154" s="421"/>
      <c r="AH154" s="421"/>
      <c r="AI154" s="421"/>
      <c r="AJ154" s="421"/>
      <c r="AK154" s="421"/>
      <c r="AL154" s="421"/>
      <c r="AM154" s="421"/>
      <c r="AN154" s="421"/>
      <c r="AO154" s="421"/>
      <c r="AP154" s="421"/>
      <c r="AQ154" s="421"/>
      <c r="AR154" s="421"/>
      <c r="AS154" s="421"/>
      <c r="AT154" s="421"/>
      <c r="AU154" s="421"/>
      <c r="AV154" s="421"/>
      <c r="AW154" s="421"/>
      <c r="AX154" s="421"/>
      <c r="AY154" s="421"/>
      <c r="AZ154" s="421"/>
      <c r="BA154" s="421"/>
      <c r="BB154" s="421"/>
    </row>
    <row r="155" spans="1:54" x14ac:dyDescent="0.2">
      <c r="A155" s="22" t="s">
        <v>357</v>
      </c>
      <c r="B155" s="488" t="s">
        <v>786</v>
      </c>
      <c r="C155" s="12" t="s">
        <v>19</v>
      </c>
      <c r="D155" s="103">
        <v>54244.141000000003</v>
      </c>
      <c r="E155" s="103">
        <v>78018.311000000002</v>
      </c>
      <c r="F155" s="103">
        <v>69321</v>
      </c>
      <c r="G155" s="103">
        <v>65484</v>
      </c>
      <c r="H155" s="103">
        <v>65484</v>
      </c>
      <c r="J155" s="500"/>
      <c r="N155" s="503"/>
    </row>
    <row r="156" spans="1:54" x14ac:dyDescent="0.2">
      <c r="A156" s="22" t="s">
        <v>358</v>
      </c>
      <c r="B156" s="488" t="s">
        <v>787</v>
      </c>
      <c r="C156" s="12" t="s">
        <v>19</v>
      </c>
      <c r="D156" s="193"/>
      <c r="E156" s="193"/>
      <c r="F156" s="193"/>
      <c r="G156" s="193"/>
      <c r="H156" s="193"/>
    </row>
    <row r="157" spans="1:54" x14ac:dyDescent="0.2">
      <c r="A157" s="22" t="s">
        <v>120</v>
      </c>
      <c r="B157" s="13" t="s">
        <v>152</v>
      </c>
      <c r="C157" s="199" t="s">
        <v>263</v>
      </c>
      <c r="D157" s="193">
        <v>0</v>
      </c>
      <c r="E157" s="193">
        <v>0</v>
      </c>
      <c r="F157" s="193">
        <v>0</v>
      </c>
      <c r="G157" s="193">
        <v>0</v>
      </c>
      <c r="H157" s="193">
        <v>0</v>
      </c>
      <c r="J157" s="420"/>
    </row>
    <row r="158" spans="1:54" x14ac:dyDescent="0.2">
      <c r="A158" s="22" t="s">
        <v>121</v>
      </c>
      <c r="B158" s="34" t="s">
        <v>525</v>
      </c>
      <c r="C158" s="35" t="s">
        <v>119</v>
      </c>
      <c r="D158" s="193">
        <v>19</v>
      </c>
      <c r="E158" s="103">
        <v>19</v>
      </c>
      <c r="F158" s="513">
        <v>20</v>
      </c>
      <c r="G158" s="103">
        <v>20</v>
      </c>
      <c r="H158" s="103">
        <v>20</v>
      </c>
      <c r="I158" s="500"/>
      <c r="J158" s="504"/>
      <c r="K158" s="123"/>
      <c r="N158" s="500"/>
      <c r="U158" s="426"/>
    </row>
    <row r="159" spans="1:54" x14ac:dyDescent="0.2">
      <c r="A159" s="22" t="s">
        <v>122</v>
      </c>
      <c r="B159" s="34" t="s">
        <v>526</v>
      </c>
      <c r="C159" s="35" t="s">
        <v>119</v>
      </c>
      <c r="D159" s="193"/>
      <c r="E159" s="103"/>
      <c r="F159" s="513">
        <v>20</v>
      </c>
      <c r="G159" s="103">
        <v>5</v>
      </c>
      <c r="H159" s="103">
        <v>0</v>
      </c>
      <c r="I159" s="500"/>
      <c r="J159" s="500"/>
      <c r="N159" s="500"/>
      <c r="U159" s="426"/>
    </row>
    <row r="160" spans="1:54" x14ac:dyDescent="0.2">
      <c r="A160" s="22" t="s">
        <v>123</v>
      </c>
      <c r="B160" s="34" t="s">
        <v>294</v>
      </c>
      <c r="C160" s="199" t="s">
        <v>263</v>
      </c>
      <c r="D160" s="193"/>
      <c r="E160" s="103"/>
      <c r="F160" s="103"/>
      <c r="G160" s="103"/>
      <c r="H160" s="103"/>
    </row>
    <row r="161" spans="1:54" x14ac:dyDescent="0.2">
      <c r="A161" s="22" t="s">
        <v>148</v>
      </c>
      <c r="B161" s="34" t="s">
        <v>118</v>
      </c>
      <c r="C161" s="35" t="s">
        <v>119</v>
      </c>
      <c r="D161" s="193"/>
      <c r="E161" s="103"/>
      <c r="F161" s="103">
        <v>10</v>
      </c>
      <c r="G161" s="103">
        <v>30</v>
      </c>
      <c r="H161" s="103">
        <v>30</v>
      </c>
    </row>
    <row r="162" spans="1:54" x14ac:dyDescent="0.2">
      <c r="A162" s="22" t="s">
        <v>153</v>
      </c>
      <c r="B162" s="126" t="s">
        <v>343</v>
      </c>
      <c r="C162" s="12" t="s">
        <v>212</v>
      </c>
      <c r="D162" s="188">
        <v>2</v>
      </c>
      <c r="E162" s="188">
        <v>2</v>
      </c>
      <c r="F162" s="188">
        <v>2</v>
      </c>
      <c r="G162" s="188">
        <v>2</v>
      </c>
      <c r="H162" s="188">
        <v>2</v>
      </c>
      <c r="I162" s="500"/>
      <c r="J162" s="421"/>
    </row>
    <row r="163" spans="1:54" x14ac:dyDescent="0.2">
      <c r="A163" s="22" t="s">
        <v>237</v>
      </c>
      <c r="B163" s="13" t="s">
        <v>342</v>
      </c>
      <c r="C163" s="12" t="s">
        <v>212</v>
      </c>
      <c r="D163" s="188">
        <v>1</v>
      </c>
      <c r="E163" s="188">
        <v>1</v>
      </c>
      <c r="F163" s="188">
        <v>1</v>
      </c>
      <c r="G163" s="188">
        <v>1</v>
      </c>
      <c r="H163" s="188">
        <v>1</v>
      </c>
      <c r="I163" s="500"/>
      <c r="J163" s="421"/>
      <c r="U163" s="427"/>
    </row>
    <row r="164" spans="1:54" x14ac:dyDescent="0.2">
      <c r="C164" s="6"/>
      <c r="D164" s="6"/>
      <c r="E164" s="6"/>
      <c r="F164" s="6"/>
      <c r="G164" s="6"/>
      <c r="H164" s="6"/>
      <c r="U164" s="427"/>
    </row>
    <row r="165" spans="1:54" customFormat="1" ht="15.75" x14ac:dyDescent="0.25">
      <c r="A165" s="217" t="s">
        <v>561</v>
      </c>
      <c r="B165" s="204"/>
      <c r="C165" s="204"/>
      <c r="D165" s="204"/>
      <c r="E165" s="204"/>
      <c r="F165" s="204"/>
      <c r="I165" s="422"/>
      <c r="J165" s="422"/>
      <c r="K165" s="422"/>
      <c r="L165" s="422"/>
      <c r="M165" s="422"/>
      <c r="N165" s="422"/>
      <c r="O165" s="422"/>
      <c r="P165" s="422"/>
      <c r="Q165" s="422"/>
      <c r="R165" s="422"/>
      <c r="S165" s="422"/>
      <c r="T165" s="422"/>
      <c r="U165" s="425"/>
      <c r="V165" s="422"/>
      <c r="W165" s="422"/>
      <c r="X165" s="422"/>
      <c r="Y165" s="422"/>
      <c r="Z165" s="422"/>
      <c r="AA165" s="422"/>
      <c r="AB165" s="422"/>
      <c r="AC165" s="422"/>
      <c r="AD165" s="422"/>
      <c r="AE165" s="422"/>
      <c r="AF165" s="422"/>
      <c r="AG165" s="422"/>
      <c r="AH165" s="422"/>
      <c r="AI165" s="422"/>
      <c r="AJ165" s="422"/>
      <c r="AK165" s="422"/>
      <c r="AL165" s="422"/>
      <c r="AM165" s="422"/>
      <c r="AN165" s="422"/>
      <c r="AO165" s="422"/>
      <c r="AP165" s="422"/>
      <c r="AQ165" s="422"/>
      <c r="AR165" s="422"/>
      <c r="AS165" s="422"/>
      <c r="AT165" s="422"/>
      <c r="AU165" s="422"/>
      <c r="AV165" s="422"/>
      <c r="AW165" s="422"/>
      <c r="AX165" s="422"/>
      <c r="AY165" s="422"/>
      <c r="AZ165" s="422"/>
      <c r="BA165" s="422"/>
      <c r="BB165" s="422"/>
    </row>
    <row r="166" spans="1:54" customFormat="1" ht="15.75" x14ac:dyDescent="0.25">
      <c r="A166" s="221" t="s">
        <v>562</v>
      </c>
      <c r="B166" s="204"/>
      <c r="C166" s="204"/>
      <c r="D166" s="204"/>
      <c r="E166" s="204"/>
      <c r="F166" s="204"/>
      <c r="I166" s="422"/>
      <c r="J166" s="422"/>
      <c r="K166" s="422"/>
      <c r="L166" s="422"/>
      <c r="M166" s="422"/>
      <c r="N166" s="422"/>
      <c r="O166" s="422"/>
      <c r="P166" s="422"/>
      <c r="Q166" s="422"/>
      <c r="R166" s="422"/>
      <c r="S166" s="422"/>
      <c r="T166" s="422"/>
      <c r="U166" s="425"/>
      <c r="V166" s="422"/>
      <c r="W166" s="422"/>
      <c r="X166" s="422"/>
      <c r="Y166" s="422"/>
      <c r="Z166" s="422"/>
      <c r="AA166" s="422"/>
      <c r="AB166" s="422"/>
      <c r="AC166" s="422"/>
      <c r="AD166" s="422"/>
      <c r="AE166" s="422"/>
      <c r="AF166" s="422"/>
      <c r="AG166" s="422"/>
      <c r="AH166" s="422"/>
      <c r="AI166" s="422"/>
      <c r="AJ166" s="422"/>
      <c r="AK166" s="422"/>
      <c r="AL166" s="422"/>
      <c r="AM166" s="422"/>
      <c r="AN166" s="422"/>
      <c r="AO166" s="422"/>
      <c r="AP166" s="422"/>
      <c r="AQ166" s="422"/>
      <c r="AR166" s="422"/>
      <c r="AS166" s="422"/>
      <c r="AT166" s="422"/>
      <c r="AU166" s="422"/>
      <c r="AV166" s="422"/>
      <c r="AW166" s="422"/>
      <c r="AX166" s="422"/>
      <c r="AY166" s="422"/>
      <c r="AZ166" s="422"/>
      <c r="BA166" s="422"/>
      <c r="BB166" s="422"/>
    </row>
    <row r="167" spans="1:54" ht="15" x14ac:dyDescent="0.2">
      <c r="A167" s="221" t="s">
        <v>599</v>
      </c>
    </row>
    <row r="168" spans="1:54" ht="15" x14ac:dyDescent="0.2">
      <c r="A168" s="221" t="s">
        <v>795</v>
      </c>
    </row>
    <row r="169" spans="1:54" ht="15" x14ac:dyDescent="0.2">
      <c r="A169" s="221" t="s">
        <v>563</v>
      </c>
    </row>
    <row r="174" spans="1:54" ht="15.75" x14ac:dyDescent="0.25">
      <c r="U174" s="428"/>
    </row>
    <row r="175" spans="1:54" ht="15.75" x14ac:dyDescent="0.25">
      <c r="U175" s="428"/>
    </row>
  </sheetData>
  <mergeCells count="58">
    <mergeCell ref="C19:H19"/>
    <mergeCell ref="C66:H66"/>
    <mergeCell ref="D11:H11"/>
    <mergeCell ref="D57:H57"/>
    <mergeCell ref="A45:H45"/>
    <mergeCell ref="C37:H37"/>
    <mergeCell ref="A55:H55"/>
    <mergeCell ref="C56:H56"/>
    <mergeCell ref="A64:H64"/>
    <mergeCell ref="C65:H65"/>
    <mergeCell ref="C106:H106"/>
    <mergeCell ref="C2:H2"/>
    <mergeCell ref="C3:D3"/>
    <mergeCell ref="F3:G3"/>
    <mergeCell ref="D38:H38"/>
    <mergeCell ref="A18:H18"/>
    <mergeCell ref="A36:H36"/>
    <mergeCell ref="D20:H20"/>
    <mergeCell ref="C28:H28"/>
    <mergeCell ref="A27:H27"/>
    <mergeCell ref="D67:H67"/>
    <mergeCell ref="D29:H29"/>
    <mergeCell ref="A7:H7"/>
    <mergeCell ref="B8:H8"/>
    <mergeCell ref="C9:H9"/>
    <mergeCell ref="C10:H10"/>
    <mergeCell ref="B146:B147"/>
    <mergeCell ref="C46:H46"/>
    <mergeCell ref="C47:H47"/>
    <mergeCell ref="D48:H48"/>
    <mergeCell ref="D107:H107"/>
    <mergeCell ref="D95:H95"/>
    <mergeCell ref="A93:H93"/>
    <mergeCell ref="A74:H74"/>
    <mergeCell ref="C75:H75"/>
    <mergeCell ref="A83:H83"/>
    <mergeCell ref="C84:H84"/>
    <mergeCell ref="C85:H85"/>
    <mergeCell ref="D76:H76"/>
    <mergeCell ref="C94:H94"/>
    <mergeCell ref="A104:H104"/>
    <mergeCell ref="C105:H105"/>
    <mergeCell ref="D115:H115"/>
    <mergeCell ref="D86:H86"/>
    <mergeCell ref="A102:H102"/>
    <mergeCell ref="A152:H152"/>
    <mergeCell ref="C153:H153"/>
    <mergeCell ref="A113:H113"/>
    <mergeCell ref="C114:H114"/>
    <mergeCell ref="A121:H121"/>
    <mergeCell ref="C122:H122"/>
    <mergeCell ref="A129:H129"/>
    <mergeCell ref="A139:H139"/>
    <mergeCell ref="D123:H123"/>
    <mergeCell ref="A146:A147"/>
    <mergeCell ref="A148:A149"/>
    <mergeCell ref="B148:B149"/>
    <mergeCell ref="C140:H140"/>
  </mergeCells>
  <dataValidations count="1">
    <dataValidation type="list" allowBlank="1" showInputMessage="1" showErrorMessage="1" sqref="U6:U9 V6 D11:H11 D29:H29 D38:H38 D57:H57 D20:H20 D48:H48 D67:H67 D76:H76 D86:H86 D95:H95 U11:U24 D115:H115 D123:H123 D107:H107" xr:uid="{00000000-0002-0000-0100-000000000000}">
      <formula1>$U$6:$U$24</formula1>
    </dataValidation>
  </dataValidations>
  <pageMargins left="0.70866141732283472" right="0.70866141732283472" top="0" bottom="0" header="0.31496062992125984" footer="0.31496062992125984"/>
  <pageSetup paperSize="8" scale="5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eht13"/>
  <dimension ref="A1:O121"/>
  <sheetViews>
    <sheetView topLeftCell="A12" workbookViewId="0">
      <selection activeCell="H10" sqref="H10"/>
    </sheetView>
  </sheetViews>
  <sheetFormatPr defaultColWidth="9" defaultRowHeight="12.75" outlineLevelRow="1" x14ac:dyDescent="0.2"/>
  <cols>
    <col min="1" max="1" width="4.875" style="6" customWidth="1"/>
    <col min="2" max="2" width="45.75" style="6" customWidth="1"/>
    <col min="3" max="3" width="11.5" style="6" customWidth="1"/>
    <col min="4" max="4" width="11.5" style="9" customWidth="1"/>
    <col min="5" max="5" width="12.375" style="6" customWidth="1"/>
    <col min="6" max="6" width="12.375" style="9" customWidth="1"/>
    <col min="7" max="8" width="10.875" style="6" customWidth="1"/>
    <col min="9" max="16384" width="9" style="6"/>
  </cols>
  <sheetData>
    <row r="1" spans="1:15" ht="18.75" x14ac:dyDescent="0.3">
      <c r="A1" s="107" t="s">
        <v>620</v>
      </c>
    </row>
    <row r="2" spans="1:15" ht="25.5" x14ac:dyDescent="0.2">
      <c r="A2" s="17" t="s">
        <v>177</v>
      </c>
      <c r="B2" s="3" t="s">
        <v>22</v>
      </c>
      <c r="C2" s="10" t="s">
        <v>0</v>
      </c>
      <c r="D2" s="11" t="s">
        <v>345</v>
      </c>
      <c r="E2" s="11" t="s">
        <v>346</v>
      </c>
      <c r="F2" s="11" t="s">
        <v>347</v>
      </c>
      <c r="G2" s="11" t="s">
        <v>329</v>
      </c>
      <c r="H2" s="11" t="s">
        <v>348</v>
      </c>
    </row>
    <row r="3" spans="1:15" x14ac:dyDescent="0.2">
      <c r="A3" s="112"/>
      <c r="B3" s="42" t="s">
        <v>329</v>
      </c>
      <c r="C3" s="112" t="s">
        <v>46</v>
      </c>
      <c r="D3" s="128" t="str">
        <f>'B. Algandmed'!$D$6</f>
        <v>2023</v>
      </c>
      <c r="E3" s="128" t="str">
        <f>'B. Algandmed'!$E$6</f>
        <v>2024</v>
      </c>
      <c r="F3" s="128" t="str">
        <f>'B. Algandmed'!$F$6</f>
        <v>2025</v>
      </c>
      <c r="G3" s="128" t="str">
        <f>'B. Algandmed'!$G$6</f>
        <v>2026</v>
      </c>
      <c r="H3" s="128" t="str">
        <f>'B. Algandmed'!$H$6</f>
        <v>2027</v>
      </c>
    </row>
    <row r="4" spans="1:15" s="131" customFormat="1" ht="12.75" customHeight="1" x14ac:dyDescent="0.2">
      <c r="A4" s="20">
        <v>1</v>
      </c>
      <c r="B4" s="24" t="s">
        <v>621</v>
      </c>
      <c r="C4" s="25" t="s">
        <v>19</v>
      </c>
      <c r="D4" s="191">
        <f>D5+D6</f>
        <v>54244.141000000003</v>
      </c>
      <c r="E4" s="191">
        <f>E5+E6</f>
        <v>78018.311000000002</v>
      </c>
      <c r="F4" s="191">
        <f>F5+F6</f>
        <v>69321</v>
      </c>
      <c r="G4" s="191">
        <v>65484</v>
      </c>
      <c r="H4" s="191">
        <v>65484</v>
      </c>
      <c r="K4" s="498"/>
    </row>
    <row r="5" spans="1:15" ht="12.75" customHeight="1" x14ac:dyDescent="0.2">
      <c r="A5" s="20">
        <f t="shared" ref="A5:A10" si="0">A4+1</f>
        <v>2</v>
      </c>
      <c r="B5" s="481" t="s">
        <v>772</v>
      </c>
      <c r="C5" s="12" t="s">
        <v>19</v>
      </c>
      <c r="D5" s="62">
        <f>'B. Algandmed'!D155</f>
        <v>54244.141000000003</v>
      </c>
      <c r="E5" s="62">
        <v>78018.311000000002</v>
      </c>
      <c r="F5" s="62">
        <f>'B. Algandmed'!F155</f>
        <v>69321</v>
      </c>
      <c r="G5" s="62">
        <f>'B. Algandmed'!G155</f>
        <v>65484</v>
      </c>
      <c r="H5" s="62">
        <f>'B. Algandmed'!H155</f>
        <v>65484</v>
      </c>
      <c r="I5" s="123"/>
      <c r="K5" s="500"/>
    </row>
    <row r="6" spans="1:15" ht="12.75" customHeight="1" x14ac:dyDescent="0.2">
      <c r="A6" s="20">
        <f t="shared" si="0"/>
        <v>3</v>
      </c>
      <c r="B6" s="481" t="s">
        <v>773</v>
      </c>
      <c r="C6" s="12" t="s">
        <v>19</v>
      </c>
      <c r="D6" s="62">
        <f>'B. Algandmed'!D156</f>
        <v>0</v>
      </c>
      <c r="E6" s="62">
        <f>'B. Algandmed'!E156</f>
        <v>0</v>
      </c>
      <c r="F6" s="62">
        <f>'B. Algandmed'!F156</f>
        <v>0</v>
      </c>
      <c r="G6" s="62">
        <f>'B. Algandmed'!G156</f>
        <v>0</v>
      </c>
      <c r="H6" s="62">
        <f>'B. Algandmed'!H156</f>
        <v>0</v>
      </c>
    </row>
    <row r="7" spans="1:15" ht="12.75" customHeight="1" x14ac:dyDescent="0.2">
      <c r="A7" s="20">
        <f t="shared" si="0"/>
        <v>4</v>
      </c>
      <c r="B7" s="13" t="s">
        <v>149</v>
      </c>
      <c r="C7" s="12" t="s">
        <v>31</v>
      </c>
      <c r="D7" s="19">
        <f>IF('B. Algandmed'!D141=0,0,D4/'B. Algandmed'!D141)</f>
        <v>21.95207213521833</v>
      </c>
      <c r="E7" s="19">
        <f>IF('B. Algandmed'!E141=0,0,E4/'B. Algandmed'!E141)</f>
        <v>33.85929254159376</v>
      </c>
      <c r="F7" s="19">
        <f>IF('B. Algandmed'!F141=0,0,F4/'B. Algandmed'!F141)</f>
        <v>28.462518950787818</v>
      </c>
      <c r="G7" s="19">
        <f>IF('B. Algandmed'!G141=0,0,G4/'B. Algandmed'!G141)</f>
        <v>21.470163934426228</v>
      </c>
      <c r="H7" s="19">
        <f>IF('B. Algandmed'!H141=0,0,H4/'B. Algandmed'!H141)</f>
        <v>21.470163934426228</v>
      </c>
    </row>
    <row r="8" spans="1:15" ht="12.75" customHeight="1" x14ac:dyDescent="0.2">
      <c r="A8" s="20">
        <f t="shared" si="0"/>
        <v>5</v>
      </c>
      <c r="B8" s="13" t="s">
        <v>390</v>
      </c>
      <c r="C8" s="12" t="s">
        <v>31</v>
      </c>
      <c r="D8" s="104">
        <f>IF('B. Algandmed'!D131=0,0,D5/'B. Algandmed'!D131)</f>
        <v>17.755856301145663</v>
      </c>
      <c r="E8" s="104">
        <f>IF('B. Algandmed'!E131=0,0,E5/'B. Algandmed'!E131)</f>
        <v>26.223760881987161</v>
      </c>
      <c r="F8" s="104">
        <f>IF('B. Algandmed'!F131=0,0,F5/'B. Algandmed'!F131)</f>
        <v>23.580977650780692</v>
      </c>
      <c r="G8" s="104">
        <f>IF('B. Algandmed'!G131=0,0,G5/'B. Algandmed'!G131)</f>
        <v>18.276304772536982</v>
      </c>
      <c r="H8" s="104">
        <f>IF('B. Algandmed'!H131=0,0,H5/'B. Algandmed'!H131)</f>
        <v>18.276304772536982</v>
      </c>
    </row>
    <row r="9" spans="1:15" s="131" customFormat="1" ht="12.75" customHeight="1" x14ac:dyDescent="0.2">
      <c r="A9" s="20">
        <f t="shared" si="0"/>
        <v>6</v>
      </c>
      <c r="B9" s="24" t="s">
        <v>624</v>
      </c>
      <c r="C9" s="25" t="s">
        <v>146</v>
      </c>
      <c r="D9" s="153">
        <f>IF(D4=0,0,D10*1000/D4)</f>
        <v>0.18009834463043667</v>
      </c>
      <c r="E9" s="153">
        <f>IF(E4=0,0,E10*1000/E4)</f>
        <v>0.13099001848425046</v>
      </c>
      <c r="F9" s="153">
        <f>IF(F4=0,0,F10*1000/F4)</f>
        <v>0.13002712020888332</v>
      </c>
      <c r="G9" s="196">
        <v>0.1673</v>
      </c>
      <c r="H9" s="196">
        <v>0.1673</v>
      </c>
      <c r="I9" s="123"/>
      <c r="K9" s="498"/>
      <c r="O9" s="6"/>
    </row>
    <row r="10" spans="1:15" s="131" customFormat="1" ht="12.75" customHeight="1" x14ac:dyDescent="0.2">
      <c r="A10" s="20">
        <f t="shared" si="0"/>
        <v>7</v>
      </c>
      <c r="B10" s="24" t="s">
        <v>623</v>
      </c>
      <c r="C10" s="25" t="s">
        <v>6</v>
      </c>
      <c r="D10" s="194">
        <v>9.7692800000000002</v>
      </c>
      <c r="E10" s="511">
        <v>10.219620000000001</v>
      </c>
      <c r="F10" s="194">
        <v>9.0136099999999999</v>
      </c>
      <c r="G10" s="195">
        <f>G4*G9/1000</f>
        <v>10.9554732</v>
      </c>
      <c r="H10" s="548">
        <f>E114*H9/1000</f>
        <v>8.7643450999999999</v>
      </c>
      <c r="I10" s="123"/>
      <c r="K10" s="500"/>
      <c r="L10" s="123"/>
      <c r="O10" s="6"/>
    </row>
    <row r="11" spans="1:15" ht="18.75" x14ac:dyDescent="0.3">
      <c r="A11" s="107"/>
    </row>
    <row r="12" spans="1:15" ht="25.5" x14ac:dyDescent="0.2">
      <c r="A12" s="10" t="s">
        <v>177</v>
      </c>
      <c r="B12" s="50" t="s">
        <v>176</v>
      </c>
      <c r="C12" s="50" t="s">
        <v>755</v>
      </c>
      <c r="D12" s="50" t="s">
        <v>0</v>
      </c>
      <c r="E12" s="50" t="s">
        <v>173</v>
      </c>
      <c r="F12" s="50" t="s">
        <v>174</v>
      </c>
      <c r="G12" s="50" t="s">
        <v>692</v>
      </c>
    </row>
    <row r="13" spans="1:15" x14ac:dyDescent="0.2">
      <c r="A13" s="13"/>
      <c r="B13" s="640" t="s">
        <v>175</v>
      </c>
      <c r="C13" s="641"/>
      <c r="D13" s="641"/>
      <c r="E13" s="641"/>
      <c r="F13" s="641"/>
      <c r="G13" s="642"/>
    </row>
    <row r="14" spans="1:15" x14ac:dyDescent="0.2">
      <c r="A14" s="22" t="s">
        <v>48</v>
      </c>
      <c r="B14" s="13" t="s">
        <v>178</v>
      </c>
      <c r="C14" s="643" t="s">
        <v>845</v>
      </c>
      <c r="D14" s="644"/>
      <c r="E14" s="644"/>
      <c r="F14" s="644"/>
      <c r="G14" s="645"/>
    </row>
    <row r="15" spans="1:15" x14ac:dyDescent="0.2">
      <c r="A15" s="22" t="s">
        <v>52</v>
      </c>
      <c r="B15" s="13" t="s">
        <v>179</v>
      </c>
      <c r="C15" s="643" t="s">
        <v>846</v>
      </c>
      <c r="D15" s="644"/>
      <c r="E15" s="644"/>
      <c r="F15" s="644"/>
      <c r="G15" s="645"/>
      <c r="I15" s="500"/>
    </row>
    <row r="16" spans="1:15" x14ac:dyDescent="0.2">
      <c r="A16" s="22" t="s">
        <v>72</v>
      </c>
      <c r="B16" s="13" t="s">
        <v>395</v>
      </c>
      <c r="C16" s="643" t="s">
        <v>848</v>
      </c>
      <c r="D16" s="644"/>
      <c r="E16" s="644"/>
      <c r="F16" s="644"/>
      <c r="G16" s="645"/>
      <c r="J16" s="56"/>
    </row>
    <row r="17" spans="1:11" x14ac:dyDescent="0.2">
      <c r="A17" s="22" t="s">
        <v>82</v>
      </c>
      <c r="B17" s="13" t="s">
        <v>179</v>
      </c>
      <c r="C17" s="643" t="s">
        <v>847</v>
      </c>
      <c r="D17" s="644"/>
      <c r="E17" s="644"/>
      <c r="F17" s="644"/>
      <c r="G17" s="645"/>
    </row>
    <row r="18" spans="1:11" x14ac:dyDescent="0.2">
      <c r="A18" s="22" t="s">
        <v>240</v>
      </c>
      <c r="B18" s="13" t="s">
        <v>777</v>
      </c>
      <c r="C18" s="527">
        <v>0.26</v>
      </c>
      <c r="D18" s="12" t="s">
        <v>41</v>
      </c>
      <c r="E18" s="103"/>
      <c r="F18" s="12" t="s">
        <v>19</v>
      </c>
      <c r="G18" s="19">
        <f>C18/100*E18/1000</f>
        <v>0</v>
      </c>
      <c r="H18" s="506"/>
    </row>
    <row r="19" spans="1:11" x14ac:dyDescent="0.2">
      <c r="A19" s="22" t="s">
        <v>273</v>
      </c>
      <c r="B19" s="13" t="s">
        <v>756</v>
      </c>
      <c r="C19" s="527">
        <v>9.1999999999999993</v>
      </c>
      <c r="D19" s="12" t="s">
        <v>41</v>
      </c>
      <c r="E19" s="103">
        <v>52387</v>
      </c>
      <c r="F19" s="12" t="s">
        <v>19</v>
      </c>
      <c r="G19" s="19">
        <f>C19/100*E19/1000</f>
        <v>4.819604</v>
      </c>
      <c r="H19" s="506"/>
    </row>
    <row r="20" spans="1:11" x14ac:dyDescent="0.2">
      <c r="A20" s="22" t="s">
        <v>274</v>
      </c>
      <c r="B20" s="13" t="s">
        <v>757</v>
      </c>
      <c r="C20" s="527">
        <v>3.49</v>
      </c>
      <c r="D20" s="12" t="s">
        <v>41</v>
      </c>
      <c r="E20" s="103">
        <v>22976</v>
      </c>
      <c r="F20" s="12" t="s">
        <v>19</v>
      </c>
      <c r="G20" s="19">
        <f>C20/100*E20/1000</f>
        <v>0.80186239999999998</v>
      </c>
    </row>
    <row r="21" spans="1:11" x14ac:dyDescent="0.2">
      <c r="A21" s="22" t="s">
        <v>396</v>
      </c>
      <c r="B21" s="13" t="s">
        <v>758</v>
      </c>
      <c r="C21" s="527">
        <v>1.99</v>
      </c>
      <c r="D21" s="12" t="s">
        <v>41</v>
      </c>
      <c r="E21" s="103">
        <v>29411</v>
      </c>
      <c r="F21" s="12" t="s">
        <v>19</v>
      </c>
      <c r="G21" s="19">
        <f>C21/100*E21/1000</f>
        <v>0.58527890000000005</v>
      </c>
      <c r="K21" s="505"/>
    </row>
    <row r="22" spans="1:11" x14ac:dyDescent="0.2">
      <c r="A22" s="22" t="s">
        <v>397</v>
      </c>
      <c r="B22" s="13" t="s">
        <v>180</v>
      </c>
      <c r="C22" s="527"/>
      <c r="D22" s="12" t="s">
        <v>181</v>
      </c>
      <c r="E22" s="513">
        <v>160</v>
      </c>
      <c r="F22" s="12" t="s">
        <v>182</v>
      </c>
      <c r="G22" s="19">
        <f>C22*E22*12/1000</f>
        <v>0</v>
      </c>
    </row>
    <row r="23" spans="1:11" x14ac:dyDescent="0.2">
      <c r="A23" s="22" t="s">
        <v>398</v>
      </c>
      <c r="B23" s="13" t="s">
        <v>183</v>
      </c>
      <c r="C23" s="527"/>
      <c r="D23" s="12" t="s">
        <v>184</v>
      </c>
      <c r="E23" s="513">
        <v>10</v>
      </c>
      <c r="F23" s="12" t="s">
        <v>185</v>
      </c>
      <c r="G23" s="19">
        <f>C23*E23*12/1000</f>
        <v>0</v>
      </c>
    </row>
    <row r="24" spans="1:11" x14ac:dyDescent="0.2">
      <c r="A24" s="22" t="s">
        <v>399</v>
      </c>
      <c r="B24" s="13" t="s">
        <v>759</v>
      </c>
      <c r="C24" s="527"/>
      <c r="D24" s="12" t="s">
        <v>41</v>
      </c>
      <c r="E24" s="62">
        <f>E19</f>
        <v>52387</v>
      </c>
      <c r="F24" s="12" t="s">
        <v>19</v>
      </c>
      <c r="G24" s="19">
        <f>C24/100*E24/1000</f>
        <v>0</v>
      </c>
    </row>
    <row r="25" spans="1:11" x14ac:dyDescent="0.2">
      <c r="A25" s="22" t="s">
        <v>400</v>
      </c>
      <c r="B25" s="13" t="s">
        <v>760</v>
      </c>
      <c r="C25" s="527"/>
      <c r="D25" s="12" t="s">
        <v>41</v>
      </c>
      <c r="E25" s="62">
        <f>E20</f>
        <v>22976</v>
      </c>
      <c r="F25" s="12" t="s">
        <v>19</v>
      </c>
      <c r="G25" s="19">
        <f>C25/100*E25/1000</f>
        <v>0</v>
      </c>
    </row>
    <row r="26" spans="1:11" x14ac:dyDescent="0.2">
      <c r="A26" s="22" t="s">
        <v>401</v>
      </c>
      <c r="B26" s="13" t="s">
        <v>761</v>
      </c>
      <c r="C26" s="527"/>
      <c r="D26" s="12" t="s">
        <v>41</v>
      </c>
      <c r="E26" s="62">
        <f>E21</f>
        <v>29411</v>
      </c>
      <c r="F26" s="12" t="s">
        <v>19</v>
      </c>
      <c r="G26" s="19">
        <f>C26/100*E26/1000</f>
        <v>0</v>
      </c>
    </row>
    <row r="27" spans="1:11" x14ac:dyDescent="0.2">
      <c r="A27" s="22" t="s">
        <v>402</v>
      </c>
      <c r="B27" s="13" t="s">
        <v>680</v>
      </c>
      <c r="C27" s="527">
        <v>29.19</v>
      </c>
      <c r="D27" s="12" t="s">
        <v>186</v>
      </c>
      <c r="E27" s="30">
        <v>12</v>
      </c>
      <c r="F27" s="12" t="s">
        <v>187</v>
      </c>
      <c r="G27" s="19">
        <f>C27*E27/1000</f>
        <v>0.35028000000000004</v>
      </c>
    </row>
    <row r="28" spans="1:11" x14ac:dyDescent="0.2">
      <c r="A28" s="22" t="s">
        <v>403</v>
      </c>
      <c r="B28" s="13" t="s">
        <v>794</v>
      </c>
      <c r="C28" s="527">
        <v>0.28999999999999998</v>
      </c>
      <c r="D28" s="12" t="s">
        <v>181</v>
      </c>
      <c r="E28" s="62">
        <f>E22</f>
        <v>160</v>
      </c>
      <c r="F28" s="12" t="s">
        <v>182</v>
      </c>
      <c r="G28" s="19">
        <f>C28*E28*12/1000</f>
        <v>0.55679999999999996</v>
      </c>
    </row>
    <row r="29" spans="1:11" x14ac:dyDescent="0.2">
      <c r="A29" s="22" t="s">
        <v>404</v>
      </c>
      <c r="B29" s="13" t="s">
        <v>681</v>
      </c>
      <c r="C29" s="527">
        <v>2.4500000000000002</v>
      </c>
      <c r="D29" s="12" t="s">
        <v>184</v>
      </c>
      <c r="E29" s="62">
        <f>E23</f>
        <v>10</v>
      </c>
      <c r="F29" s="12" t="s">
        <v>185</v>
      </c>
      <c r="G29" s="19">
        <f>C29*E29*12/1000</f>
        <v>0.29399999999999998</v>
      </c>
    </row>
    <row r="30" spans="1:11" x14ac:dyDescent="0.2">
      <c r="A30" s="22" t="s">
        <v>405</v>
      </c>
      <c r="B30" s="13" t="s">
        <v>264</v>
      </c>
      <c r="C30" s="527">
        <v>0.69</v>
      </c>
      <c r="D30" s="12" t="s">
        <v>265</v>
      </c>
      <c r="E30" s="513">
        <v>26848</v>
      </c>
      <c r="F30" s="12" t="s">
        <v>266</v>
      </c>
      <c r="G30" s="19">
        <f>C30/100*E30/1000</f>
        <v>0.18525119999999998</v>
      </c>
    </row>
    <row r="31" spans="1:11" x14ac:dyDescent="0.2">
      <c r="A31" s="22" t="s">
        <v>406</v>
      </c>
      <c r="B31" s="13" t="s">
        <v>267</v>
      </c>
      <c r="C31" s="527">
        <v>0.93</v>
      </c>
      <c r="D31" s="12" t="s">
        <v>265</v>
      </c>
      <c r="E31" s="103">
        <v>0</v>
      </c>
      <c r="F31" s="12" t="s">
        <v>266</v>
      </c>
      <c r="G31" s="19">
        <f>C31/100*E31/1000</f>
        <v>0</v>
      </c>
    </row>
    <row r="32" spans="1:11" x14ac:dyDescent="0.2">
      <c r="A32" s="22" t="s">
        <v>407</v>
      </c>
      <c r="B32" s="13" t="s">
        <v>268</v>
      </c>
      <c r="C32" s="527">
        <v>0.84</v>
      </c>
      <c r="D32" s="12" t="s">
        <v>41</v>
      </c>
      <c r="E32" s="62">
        <f>E20+E21</f>
        <v>52387</v>
      </c>
      <c r="F32" s="12" t="s">
        <v>19</v>
      </c>
      <c r="G32" s="19">
        <f>C32/100*E32/1000</f>
        <v>0.44005079999999996</v>
      </c>
    </row>
    <row r="33" spans="1:7" x14ac:dyDescent="0.2">
      <c r="A33" s="22" t="s">
        <v>778</v>
      </c>
      <c r="B33" s="13" t="s">
        <v>269</v>
      </c>
      <c r="C33" s="527">
        <v>0.21</v>
      </c>
      <c r="D33" s="12" t="s">
        <v>41</v>
      </c>
      <c r="E33" s="62">
        <f>H4</f>
        <v>65484</v>
      </c>
      <c r="F33" s="12" t="s">
        <v>19</v>
      </c>
      <c r="G33" s="19">
        <f>C33/100*E33/1000</f>
        <v>0.13751640000000001</v>
      </c>
    </row>
    <row r="34" spans="1:7" x14ac:dyDescent="0.2">
      <c r="A34" s="22" t="s">
        <v>802</v>
      </c>
      <c r="B34" s="13" t="s">
        <v>801</v>
      </c>
      <c r="C34" s="527">
        <v>0.75800000000000001</v>
      </c>
      <c r="D34" s="12" t="s">
        <v>41</v>
      </c>
      <c r="E34" s="62">
        <f>E32</f>
        <v>52387</v>
      </c>
      <c r="F34" s="12" t="s">
        <v>19</v>
      </c>
      <c r="G34" s="19">
        <f t="shared" ref="G34:G35" si="1">C34/100*E34/1000</f>
        <v>0.39709346000000001</v>
      </c>
    </row>
    <row r="35" spans="1:7" x14ac:dyDescent="0.2">
      <c r="A35" s="22" t="s">
        <v>803</v>
      </c>
      <c r="B35" s="13" t="s">
        <v>810</v>
      </c>
      <c r="C35" s="527">
        <v>0.373</v>
      </c>
      <c r="D35" s="12" t="s">
        <v>41</v>
      </c>
      <c r="E35" s="62">
        <f>E32</f>
        <v>52387</v>
      </c>
      <c r="F35" s="12" t="s">
        <v>19</v>
      </c>
      <c r="G35" s="19">
        <f t="shared" si="1"/>
        <v>0.19540350999999997</v>
      </c>
    </row>
    <row r="36" spans="1:7" x14ac:dyDescent="0.2">
      <c r="A36" s="43" t="s">
        <v>89</v>
      </c>
      <c r="B36" s="646" t="s">
        <v>188</v>
      </c>
      <c r="C36" s="647"/>
      <c r="D36" s="647"/>
      <c r="E36" s="647"/>
      <c r="F36" s="648"/>
      <c r="G36" s="28">
        <f>SUM(G18:G35)</f>
        <v>8.7631406700000003</v>
      </c>
    </row>
    <row r="37" spans="1:7" x14ac:dyDescent="0.2">
      <c r="A37" s="158"/>
      <c r="B37" s="159"/>
      <c r="C37" s="160"/>
      <c r="D37" s="161"/>
      <c r="E37" s="162"/>
      <c r="F37" s="161"/>
      <c r="G37" s="160"/>
    </row>
    <row r="38" spans="1:7" hidden="1" outlineLevel="1" x14ac:dyDescent="0.2">
      <c r="A38" s="59"/>
      <c r="B38" s="649" t="s">
        <v>189</v>
      </c>
      <c r="C38" s="650"/>
      <c r="D38" s="650"/>
      <c r="E38" s="650"/>
      <c r="F38" s="650"/>
      <c r="G38" s="651"/>
    </row>
    <row r="39" spans="1:7" hidden="1" outlineLevel="1" x14ac:dyDescent="0.2">
      <c r="A39" s="22" t="s">
        <v>92</v>
      </c>
      <c r="B39" s="13" t="s">
        <v>178</v>
      </c>
      <c r="C39" s="637"/>
      <c r="D39" s="638"/>
      <c r="E39" s="638"/>
      <c r="F39" s="638"/>
      <c r="G39" s="639"/>
    </row>
    <row r="40" spans="1:7" hidden="1" outlineLevel="1" x14ac:dyDescent="0.2">
      <c r="A40" s="22" t="s">
        <v>94</v>
      </c>
      <c r="B40" s="13" t="s">
        <v>179</v>
      </c>
      <c r="C40" s="637"/>
      <c r="D40" s="638"/>
      <c r="E40" s="638"/>
      <c r="F40" s="638"/>
      <c r="G40" s="639"/>
    </row>
    <row r="41" spans="1:7" hidden="1" outlineLevel="1" x14ac:dyDescent="0.2">
      <c r="A41" s="22" t="s">
        <v>139</v>
      </c>
      <c r="B41" s="13" t="s">
        <v>395</v>
      </c>
      <c r="C41" s="637"/>
      <c r="D41" s="638"/>
      <c r="E41" s="638"/>
      <c r="F41" s="638"/>
      <c r="G41" s="639"/>
    </row>
    <row r="42" spans="1:7" hidden="1" outlineLevel="1" x14ac:dyDescent="0.2">
      <c r="A42" s="22" t="s">
        <v>223</v>
      </c>
      <c r="B42" s="13" t="s">
        <v>179</v>
      </c>
      <c r="C42" s="637"/>
      <c r="D42" s="638"/>
      <c r="E42" s="638"/>
      <c r="F42" s="638"/>
      <c r="G42" s="639"/>
    </row>
    <row r="43" spans="1:7" hidden="1" outlineLevel="1" x14ac:dyDescent="0.2">
      <c r="A43" s="22" t="s">
        <v>224</v>
      </c>
      <c r="B43" s="13" t="s">
        <v>777</v>
      </c>
      <c r="C43" s="21"/>
      <c r="D43" s="12" t="s">
        <v>41</v>
      </c>
      <c r="E43" s="103"/>
      <c r="F43" s="12" t="s">
        <v>19</v>
      </c>
      <c r="G43" s="19">
        <f>C43/100*E43/1000</f>
        <v>0</v>
      </c>
    </row>
    <row r="44" spans="1:7" hidden="1" outlineLevel="1" x14ac:dyDescent="0.2">
      <c r="A44" s="22" t="s">
        <v>225</v>
      </c>
      <c r="B44" s="13" t="s">
        <v>756</v>
      </c>
      <c r="C44" s="21"/>
      <c r="D44" s="12" t="s">
        <v>41</v>
      </c>
      <c r="E44" s="103"/>
      <c r="F44" s="12" t="s">
        <v>19</v>
      </c>
      <c r="G44" s="19">
        <f>C44/100*E44/1000</f>
        <v>0</v>
      </c>
    </row>
    <row r="45" spans="1:7" hidden="1" outlineLevel="1" x14ac:dyDescent="0.2">
      <c r="A45" s="22" t="s">
        <v>226</v>
      </c>
      <c r="B45" s="13" t="s">
        <v>757</v>
      </c>
      <c r="C45" s="21"/>
      <c r="D45" s="12" t="s">
        <v>41</v>
      </c>
      <c r="E45" s="103"/>
      <c r="F45" s="12" t="s">
        <v>19</v>
      </c>
      <c r="G45" s="19">
        <f>C45/100*E45/1000</f>
        <v>0</v>
      </c>
    </row>
    <row r="46" spans="1:7" hidden="1" outlineLevel="1" x14ac:dyDescent="0.2">
      <c r="A46" s="22" t="s">
        <v>227</v>
      </c>
      <c r="B46" s="13" t="s">
        <v>758</v>
      </c>
      <c r="C46" s="21"/>
      <c r="D46" s="12" t="s">
        <v>41</v>
      </c>
      <c r="E46" s="103"/>
      <c r="F46" s="12" t="s">
        <v>19</v>
      </c>
      <c r="G46" s="19">
        <f>C46/100*E46/1000</f>
        <v>0</v>
      </c>
    </row>
    <row r="47" spans="1:7" hidden="1" outlineLevel="1" x14ac:dyDescent="0.2">
      <c r="A47" s="22" t="s">
        <v>228</v>
      </c>
      <c r="B47" s="13" t="s">
        <v>180</v>
      </c>
      <c r="C47" s="21"/>
      <c r="D47" s="12" t="s">
        <v>181</v>
      </c>
      <c r="E47" s="103"/>
      <c r="F47" s="12" t="s">
        <v>182</v>
      </c>
      <c r="G47" s="19">
        <f>C47*E47*12/1000</f>
        <v>0</v>
      </c>
    </row>
    <row r="48" spans="1:7" hidden="1" outlineLevel="1" x14ac:dyDescent="0.2">
      <c r="A48" s="22" t="s">
        <v>229</v>
      </c>
      <c r="B48" s="13" t="s">
        <v>183</v>
      </c>
      <c r="C48" s="21"/>
      <c r="D48" s="12" t="s">
        <v>184</v>
      </c>
      <c r="E48" s="103"/>
      <c r="F48" s="12" t="s">
        <v>185</v>
      </c>
      <c r="G48" s="19">
        <f>C48*E48*12/1000</f>
        <v>0</v>
      </c>
    </row>
    <row r="49" spans="1:7" hidden="1" outlineLevel="1" x14ac:dyDescent="0.2">
      <c r="A49" s="22" t="s">
        <v>364</v>
      </c>
      <c r="B49" s="13" t="s">
        <v>759</v>
      </c>
      <c r="C49" s="21"/>
      <c r="D49" s="12" t="s">
        <v>41</v>
      </c>
      <c r="E49" s="62">
        <f>E44</f>
        <v>0</v>
      </c>
      <c r="F49" s="12" t="s">
        <v>19</v>
      </c>
      <c r="G49" s="19">
        <f>C49/100*E49/1000</f>
        <v>0</v>
      </c>
    </row>
    <row r="50" spans="1:7" hidden="1" outlineLevel="1" x14ac:dyDescent="0.2">
      <c r="A50" s="22" t="s">
        <v>365</v>
      </c>
      <c r="B50" s="13" t="s">
        <v>760</v>
      </c>
      <c r="C50" s="21"/>
      <c r="D50" s="12" t="s">
        <v>41</v>
      </c>
      <c r="E50" s="62">
        <f>E45</f>
        <v>0</v>
      </c>
      <c r="F50" s="12" t="s">
        <v>19</v>
      </c>
      <c r="G50" s="19">
        <f>C50/100*E50/1000</f>
        <v>0</v>
      </c>
    </row>
    <row r="51" spans="1:7" hidden="1" outlineLevel="1" x14ac:dyDescent="0.2">
      <c r="A51" s="22" t="s">
        <v>366</v>
      </c>
      <c r="B51" s="13" t="s">
        <v>761</v>
      </c>
      <c r="C51" s="21"/>
      <c r="D51" s="12" t="s">
        <v>41</v>
      </c>
      <c r="E51" s="62">
        <f>E46</f>
        <v>0</v>
      </c>
      <c r="F51" s="12" t="s">
        <v>19</v>
      </c>
      <c r="G51" s="19">
        <f>C51/100*E51/1000</f>
        <v>0</v>
      </c>
    </row>
    <row r="52" spans="1:7" hidden="1" outlineLevel="1" x14ac:dyDescent="0.2">
      <c r="A52" s="22" t="s">
        <v>367</v>
      </c>
      <c r="B52" s="13" t="s">
        <v>680</v>
      </c>
      <c r="C52" s="21"/>
      <c r="D52" s="12" t="s">
        <v>186</v>
      </c>
      <c r="E52" s="62">
        <v>12</v>
      </c>
      <c r="F52" s="12" t="s">
        <v>187</v>
      </c>
      <c r="G52" s="19">
        <f>C52*E52/1000</f>
        <v>0</v>
      </c>
    </row>
    <row r="53" spans="1:7" hidden="1" outlineLevel="1" x14ac:dyDescent="0.2">
      <c r="A53" s="22" t="s">
        <v>368</v>
      </c>
      <c r="B53" s="13" t="s">
        <v>794</v>
      </c>
      <c r="C53" s="21"/>
      <c r="D53" s="12" t="s">
        <v>181</v>
      </c>
      <c r="E53" s="62">
        <f>E47</f>
        <v>0</v>
      </c>
      <c r="F53" s="12" t="s">
        <v>182</v>
      </c>
      <c r="G53" s="19">
        <f>C53*E53*12/1000</f>
        <v>0</v>
      </c>
    </row>
    <row r="54" spans="1:7" hidden="1" outlineLevel="1" x14ac:dyDescent="0.2">
      <c r="A54" s="22" t="s">
        <v>409</v>
      </c>
      <c r="B54" s="13" t="s">
        <v>681</v>
      </c>
      <c r="C54" s="21"/>
      <c r="D54" s="12" t="s">
        <v>184</v>
      </c>
      <c r="E54" s="62">
        <f>E48</f>
        <v>0</v>
      </c>
      <c r="F54" s="12" t="s">
        <v>185</v>
      </c>
      <c r="G54" s="19">
        <f>C54*E54*12/1000</f>
        <v>0</v>
      </c>
    </row>
    <row r="55" spans="1:7" hidden="1" outlineLevel="1" x14ac:dyDescent="0.2">
      <c r="A55" s="22" t="s">
        <v>410</v>
      </c>
      <c r="B55" s="13" t="s">
        <v>264</v>
      </c>
      <c r="C55" s="21"/>
      <c r="D55" s="12" t="s">
        <v>265</v>
      </c>
      <c r="E55" s="103"/>
      <c r="F55" s="12" t="s">
        <v>266</v>
      </c>
      <c r="G55" s="19">
        <f>C55/100*E55/1000</f>
        <v>0</v>
      </c>
    </row>
    <row r="56" spans="1:7" hidden="1" outlineLevel="1" x14ac:dyDescent="0.2">
      <c r="A56" s="22" t="s">
        <v>411</v>
      </c>
      <c r="B56" s="13" t="s">
        <v>267</v>
      </c>
      <c r="C56" s="21"/>
      <c r="D56" s="12" t="s">
        <v>265</v>
      </c>
      <c r="E56" s="103"/>
      <c r="F56" s="12" t="s">
        <v>266</v>
      </c>
      <c r="G56" s="19">
        <f>C56/100*E56/1000</f>
        <v>0</v>
      </c>
    </row>
    <row r="57" spans="1:7" hidden="1" outlineLevel="1" x14ac:dyDescent="0.2">
      <c r="A57" s="22" t="s">
        <v>412</v>
      </c>
      <c r="B57" s="13" t="s">
        <v>268</v>
      </c>
      <c r="C57" s="21"/>
      <c r="D57" s="12" t="s">
        <v>41</v>
      </c>
      <c r="E57" s="62">
        <f>E44+E45+E46</f>
        <v>0</v>
      </c>
      <c r="F57" s="12" t="s">
        <v>19</v>
      </c>
      <c r="G57" s="19">
        <f>C57/100*E57/1000</f>
        <v>0</v>
      </c>
    </row>
    <row r="58" spans="1:7" hidden="1" outlineLevel="1" x14ac:dyDescent="0.2">
      <c r="A58" s="22" t="s">
        <v>738</v>
      </c>
      <c r="B58" s="13" t="s">
        <v>269</v>
      </c>
      <c r="C58" s="21"/>
      <c r="D58" s="12" t="s">
        <v>41</v>
      </c>
      <c r="E58" s="62">
        <f>E57</f>
        <v>0</v>
      </c>
      <c r="F58" s="12" t="s">
        <v>19</v>
      </c>
      <c r="G58" s="19">
        <f>C58/100*E58/1000</f>
        <v>0</v>
      </c>
    </row>
    <row r="59" spans="1:7" collapsed="1" x14ac:dyDescent="0.2">
      <c r="A59" s="22" t="s">
        <v>804</v>
      </c>
      <c r="B59" s="13" t="s">
        <v>801</v>
      </c>
      <c r="C59" s="21"/>
      <c r="D59" s="12" t="s">
        <v>41</v>
      </c>
      <c r="E59" s="62">
        <f>E57</f>
        <v>0</v>
      </c>
      <c r="F59" s="12" t="s">
        <v>19</v>
      </c>
      <c r="G59" s="19">
        <f t="shared" ref="G59:G60" si="2">C59/100*E59/1000</f>
        <v>0</v>
      </c>
    </row>
    <row r="60" spans="1:7" x14ac:dyDescent="0.2">
      <c r="A60" s="22" t="s">
        <v>805</v>
      </c>
      <c r="B60" s="13" t="s">
        <v>810</v>
      </c>
      <c r="C60" s="21"/>
      <c r="D60" s="12" t="s">
        <v>41</v>
      </c>
      <c r="E60" s="62">
        <f>E57</f>
        <v>0</v>
      </c>
      <c r="F60" s="12" t="s">
        <v>19</v>
      </c>
      <c r="G60" s="19">
        <f t="shared" si="2"/>
        <v>0</v>
      </c>
    </row>
    <row r="61" spans="1:7" hidden="1" outlineLevel="1" x14ac:dyDescent="0.2">
      <c r="A61" s="22" t="s">
        <v>141</v>
      </c>
      <c r="B61" s="640" t="s">
        <v>194</v>
      </c>
      <c r="C61" s="641"/>
      <c r="D61" s="641"/>
      <c r="E61" s="641"/>
      <c r="F61" s="642"/>
      <c r="G61" s="26">
        <f>SUM(G43:G60)</f>
        <v>0</v>
      </c>
    </row>
    <row r="62" spans="1:7" collapsed="1" x14ac:dyDescent="0.2"/>
    <row r="63" spans="1:7" hidden="1" outlineLevel="1" x14ac:dyDescent="0.2">
      <c r="A63" s="13"/>
      <c r="B63" s="640" t="s">
        <v>192</v>
      </c>
      <c r="C63" s="641"/>
      <c r="D63" s="641"/>
      <c r="E63" s="641"/>
      <c r="F63" s="641"/>
      <c r="G63" s="642"/>
    </row>
    <row r="64" spans="1:7" hidden="1" outlineLevel="1" x14ac:dyDescent="0.2">
      <c r="A64" s="22" t="s">
        <v>98</v>
      </c>
      <c r="B64" s="13" t="s">
        <v>178</v>
      </c>
      <c r="C64" s="637"/>
      <c r="D64" s="638"/>
      <c r="E64" s="638"/>
      <c r="F64" s="638"/>
      <c r="G64" s="639"/>
    </row>
    <row r="65" spans="1:7" hidden="1" outlineLevel="1" x14ac:dyDescent="0.2">
      <c r="A65" s="22" t="s">
        <v>104</v>
      </c>
      <c r="B65" s="13" t="s">
        <v>179</v>
      </c>
      <c r="C65" s="637"/>
      <c r="D65" s="638"/>
      <c r="E65" s="638"/>
      <c r="F65" s="638"/>
      <c r="G65" s="639"/>
    </row>
    <row r="66" spans="1:7" hidden="1" outlineLevel="1" x14ac:dyDescent="0.2">
      <c r="A66" s="22" t="s">
        <v>108</v>
      </c>
      <c r="B66" s="13" t="s">
        <v>395</v>
      </c>
      <c r="C66" s="637"/>
      <c r="D66" s="638"/>
      <c r="E66" s="638"/>
      <c r="F66" s="638"/>
      <c r="G66" s="639"/>
    </row>
    <row r="67" spans="1:7" hidden="1" outlineLevel="1" x14ac:dyDescent="0.2">
      <c r="A67" s="22" t="s">
        <v>230</v>
      </c>
      <c r="B67" s="13" t="s">
        <v>179</v>
      </c>
      <c r="C67" s="637"/>
      <c r="D67" s="638"/>
      <c r="E67" s="638"/>
      <c r="F67" s="638"/>
      <c r="G67" s="639"/>
    </row>
    <row r="68" spans="1:7" hidden="1" outlineLevel="1" x14ac:dyDescent="0.2">
      <c r="A68" s="22" t="s">
        <v>231</v>
      </c>
      <c r="B68" s="13" t="s">
        <v>777</v>
      </c>
      <c r="C68" s="21"/>
      <c r="D68" s="12" t="s">
        <v>41</v>
      </c>
      <c r="E68" s="103"/>
      <c r="F68" s="12" t="s">
        <v>19</v>
      </c>
      <c r="G68" s="19">
        <f>C68/100*E68/1000</f>
        <v>0</v>
      </c>
    </row>
    <row r="69" spans="1:7" hidden="1" outlineLevel="1" x14ac:dyDescent="0.2">
      <c r="A69" s="22" t="s">
        <v>232</v>
      </c>
      <c r="B69" s="13" t="s">
        <v>756</v>
      </c>
      <c r="C69" s="21"/>
      <c r="D69" s="12" t="s">
        <v>41</v>
      </c>
      <c r="E69" s="103"/>
      <c r="F69" s="12" t="s">
        <v>19</v>
      </c>
      <c r="G69" s="19">
        <f>C69/100*E69/1000</f>
        <v>0</v>
      </c>
    </row>
    <row r="70" spans="1:7" hidden="1" outlineLevel="1" x14ac:dyDescent="0.2">
      <c r="A70" s="22" t="s">
        <v>233</v>
      </c>
      <c r="B70" s="13" t="s">
        <v>757</v>
      </c>
      <c r="C70" s="21"/>
      <c r="D70" s="12" t="s">
        <v>41</v>
      </c>
      <c r="E70" s="103"/>
      <c r="F70" s="12" t="s">
        <v>19</v>
      </c>
      <c r="G70" s="19">
        <f>C70/100*E70/1000</f>
        <v>0</v>
      </c>
    </row>
    <row r="71" spans="1:7" hidden="1" outlineLevel="1" x14ac:dyDescent="0.2">
      <c r="A71" s="22" t="s">
        <v>234</v>
      </c>
      <c r="B71" s="13" t="s">
        <v>758</v>
      </c>
      <c r="C71" s="21"/>
      <c r="D71" s="12" t="s">
        <v>41</v>
      </c>
      <c r="E71" s="103"/>
      <c r="F71" s="12" t="s">
        <v>19</v>
      </c>
      <c r="G71" s="19">
        <f>C71/100*E71/1000</f>
        <v>0</v>
      </c>
    </row>
    <row r="72" spans="1:7" hidden="1" outlineLevel="1" x14ac:dyDescent="0.2">
      <c r="A72" s="22" t="s">
        <v>235</v>
      </c>
      <c r="B72" s="13" t="s">
        <v>180</v>
      </c>
      <c r="C72" s="21"/>
      <c r="D72" s="12" t="s">
        <v>181</v>
      </c>
      <c r="E72" s="103"/>
      <c r="F72" s="12" t="s">
        <v>182</v>
      </c>
      <c r="G72" s="19">
        <f>C72*E72*12/1000</f>
        <v>0</v>
      </c>
    </row>
    <row r="73" spans="1:7" hidden="1" outlineLevel="1" x14ac:dyDescent="0.2">
      <c r="A73" s="22" t="s">
        <v>236</v>
      </c>
      <c r="B73" s="13" t="s">
        <v>183</v>
      </c>
      <c r="C73" s="21"/>
      <c r="D73" s="12" t="s">
        <v>184</v>
      </c>
      <c r="E73" s="103"/>
      <c r="F73" s="12" t="s">
        <v>185</v>
      </c>
      <c r="G73" s="19">
        <f>C73*E73*12/1000</f>
        <v>0</v>
      </c>
    </row>
    <row r="74" spans="1:7" hidden="1" outlineLevel="1" x14ac:dyDescent="0.2">
      <c r="A74" s="22" t="s">
        <v>275</v>
      </c>
      <c r="B74" s="13" t="s">
        <v>759</v>
      </c>
      <c r="C74" s="21"/>
      <c r="D74" s="12" t="s">
        <v>41</v>
      </c>
      <c r="E74" s="62">
        <f>E69</f>
        <v>0</v>
      </c>
      <c r="F74" s="12" t="s">
        <v>19</v>
      </c>
      <c r="G74" s="19">
        <f>C74/100*E74/1000</f>
        <v>0</v>
      </c>
    </row>
    <row r="75" spans="1:7" hidden="1" outlineLevel="1" x14ac:dyDescent="0.2">
      <c r="A75" s="22" t="s">
        <v>276</v>
      </c>
      <c r="B75" s="13" t="s">
        <v>760</v>
      </c>
      <c r="C75" s="21"/>
      <c r="D75" s="12" t="s">
        <v>41</v>
      </c>
      <c r="E75" s="62">
        <f>E70</f>
        <v>0</v>
      </c>
      <c r="F75" s="12" t="s">
        <v>19</v>
      </c>
      <c r="G75" s="19">
        <f>C75/100*E75/1000</f>
        <v>0</v>
      </c>
    </row>
    <row r="76" spans="1:7" hidden="1" outlineLevel="1" x14ac:dyDescent="0.2">
      <c r="A76" s="22" t="s">
        <v>277</v>
      </c>
      <c r="B76" s="13" t="s">
        <v>761</v>
      </c>
      <c r="C76" s="21"/>
      <c r="D76" s="12" t="s">
        <v>41</v>
      </c>
      <c r="E76" s="62">
        <f>E71</f>
        <v>0</v>
      </c>
      <c r="F76" s="12" t="s">
        <v>19</v>
      </c>
      <c r="G76" s="19">
        <f>C76/100*E76/1000</f>
        <v>0</v>
      </c>
    </row>
    <row r="77" spans="1:7" hidden="1" outlineLevel="1" x14ac:dyDescent="0.2">
      <c r="A77" s="22" t="s">
        <v>278</v>
      </c>
      <c r="B77" s="13" t="s">
        <v>680</v>
      </c>
      <c r="C77" s="21"/>
      <c r="D77" s="12" t="s">
        <v>186</v>
      </c>
      <c r="E77" s="62">
        <v>12</v>
      </c>
      <c r="F77" s="12" t="s">
        <v>187</v>
      </c>
      <c r="G77" s="19">
        <f>C77*E77/1000</f>
        <v>0</v>
      </c>
    </row>
    <row r="78" spans="1:7" hidden="1" outlineLevel="1" x14ac:dyDescent="0.2">
      <c r="A78" s="22" t="s">
        <v>279</v>
      </c>
      <c r="B78" s="13" t="s">
        <v>794</v>
      </c>
      <c r="C78" s="21"/>
      <c r="D78" s="12" t="s">
        <v>181</v>
      </c>
      <c r="E78" s="62">
        <f>E72</f>
        <v>0</v>
      </c>
      <c r="F78" s="12" t="s">
        <v>182</v>
      </c>
      <c r="G78" s="19">
        <f>C78*E78*12/1000</f>
        <v>0</v>
      </c>
    </row>
    <row r="79" spans="1:7" hidden="1" outlineLevel="1" x14ac:dyDescent="0.2">
      <c r="A79" s="22" t="s">
        <v>280</v>
      </c>
      <c r="B79" s="13" t="s">
        <v>681</v>
      </c>
      <c r="C79" s="21"/>
      <c r="D79" s="12" t="s">
        <v>184</v>
      </c>
      <c r="E79" s="62">
        <f>E73</f>
        <v>0</v>
      </c>
      <c r="F79" s="12" t="s">
        <v>185</v>
      </c>
      <c r="G79" s="19">
        <f>C79*E79*12/1000</f>
        <v>0</v>
      </c>
    </row>
    <row r="80" spans="1:7" hidden="1" outlineLevel="1" x14ac:dyDescent="0.2">
      <c r="A80" s="22" t="s">
        <v>281</v>
      </c>
      <c r="B80" s="13" t="s">
        <v>264</v>
      </c>
      <c r="C80" s="21"/>
      <c r="D80" s="12" t="s">
        <v>265</v>
      </c>
      <c r="E80" s="103"/>
      <c r="F80" s="12" t="s">
        <v>266</v>
      </c>
      <c r="G80" s="19">
        <f>C80/100*E80/1000</f>
        <v>0</v>
      </c>
    </row>
    <row r="81" spans="1:7" hidden="1" outlineLevel="1" x14ac:dyDescent="0.2">
      <c r="A81" s="22" t="s">
        <v>282</v>
      </c>
      <c r="B81" s="13" t="s">
        <v>267</v>
      </c>
      <c r="C81" s="21"/>
      <c r="D81" s="12" t="s">
        <v>265</v>
      </c>
      <c r="E81" s="103"/>
      <c r="F81" s="12" t="s">
        <v>266</v>
      </c>
      <c r="G81" s="19">
        <f>C81/100*E81/1000</f>
        <v>0</v>
      </c>
    </row>
    <row r="82" spans="1:7" hidden="1" outlineLevel="1" x14ac:dyDescent="0.2">
      <c r="A82" s="22" t="s">
        <v>283</v>
      </c>
      <c r="B82" s="13" t="s">
        <v>268</v>
      </c>
      <c r="C82" s="21"/>
      <c r="D82" s="12" t="s">
        <v>41</v>
      </c>
      <c r="E82" s="62">
        <f>E69+E70+E71</f>
        <v>0</v>
      </c>
      <c r="F82" s="12" t="s">
        <v>19</v>
      </c>
      <c r="G82" s="19">
        <f>C82/100*E82/1000</f>
        <v>0</v>
      </c>
    </row>
    <row r="83" spans="1:7" hidden="1" outlineLevel="1" x14ac:dyDescent="0.2">
      <c r="A83" s="22" t="s">
        <v>284</v>
      </c>
      <c r="B83" s="13" t="s">
        <v>269</v>
      </c>
      <c r="C83" s="21"/>
      <c r="D83" s="12" t="s">
        <v>41</v>
      </c>
      <c r="E83" s="62">
        <f>E82</f>
        <v>0</v>
      </c>
      <c r="F83" s="12" t="s">
        <v>19</v>
      </c>
      <c r="G83" s="19">
        <f>C83/100*E83/1000</f>
        <v>0</v>
      </c>
    </row>
    <row r="84" spans="1:7" collapsed="1" x14ac:dyDescent="0.2">
      <c r="A84" s="22" t="s">
        <v>806</v>
      </c>
      <c r="B84" s="13" t="s">
        <v>801</v>
      </c>
      <c r="C84" s="21"/>
      <c r="D84" s="12" t="s">
        <v>41</v>
      </c>
      <c r="E84" s="62">
        <f>E82</f>
        <v>0</v>
      </c>
      <c r="F84" s="12" t="s">
        <v>19</v>
      </c>
      <c r="G84" s="19">
        <f t="shared" ref="G84" si="3">C84/100*E84/1000</f>
        <v>0</v>
      </c>
    </row>
    <row r="85" spans="1:7" x14ac:dyDescent="0.2">
      <c r="A85" s="22" t="s">
        <v>807</v>
      </c>
      <c r="B85" s="13" t="s">
        <v>810</v>
      </c>
      <c r="C85" s="21"/>
      <c r="D85" s="12" t="s">
        <v>41</v>
      </c>
      <c r="E85" s="62">
        <f>E82</f>
        <v>0</v>
      </c>
      <c r="F85" s="12" t="s">
        <v>19</v>
      </c>
      <c r="G85" s="19">
        <f>C85/100*E85/1000</f>
        <v>0</v>
      </c>
    </row>
    <row r="86" spans="1:7" outlineLevel="1" x14ac:dyDescent="0.2">
      <c r="A86" s="22" t="s">
        <v>145</v>
      </c>
      <c r="B86" s="640" t="s">
        <v>195</v>
      </c>
      <c r="C86" s="641"/>
      <c r="D86" s="641"/>
      <c r="E86" s="641"/>
      <c r="F86" s="642"/>
      <c r="G86" s="26">
        <f>SUM(G68:G85)</f>
        <v>0</v>
      </c>
    </row>
    <row r="88" spans="1:7" hidden="1" outlineLevel="1" x14ac:dyDescent="0.2">
      <c r="A88" s="13"/>
      <c r="B88" s="640" t="s">
        <v>193</v>
      </c>
      <c r="C88" s="641"/>
      <c r="D88" s="641"/>
      <c r="E88" s="641"/>
      <c r="F88" s="641"/>
      <c r="G88" s="642"/>
    </row>
    <row r="89" spans="1:7" hidden="1" outlineLevel="1" x14ac:dyDescent="0.2">
      <c r="A89" s="22" t="s">
        <v>117</v>
      </c>
      <c r="B89" s="13" t="s">
        <v>178</v>
      </c>
      <c r="C89" s="637"/>
      <c r="D89" s="638"/>
      <c r="E89" s="638"/>
      <c r="F89" s="638"/>
      <c r="G89" s="639"/>
    </row>
    <row r="90" spans="1:7" hidden="1" outlineLevel="1" x14ac:dyDescent="0.2">
      <c r="A90" s="22" t="s">
        <v>120</v>
      </c>
      <c r="B90" s="13" t="s">
        <v>179</v>
      </c>
      <c r="C90" s="637"/>
      <c r="D90" s="638"/>
      <c r="E90" s="638"/>
      <c r="F90" s="638"/>
      <c r="G90" s="639"/>
    </row>
    <row r="91" spans="1:7" hidden="1" outlineLevel="1" x14ac:dyDescent="0.2">
      <c r="A91" s="22" t="s">
        <v>121</v>
      </c>
      <c r="B91" s="13" t="s">
        <v>395</v>
      </c>
      <c r="C91" s="637"/>
      <c r="D91" s="638"/>
      <c r="E91" s="638"/>
      <c r="F91" s="638"/>
      <c r="G91" s="639"/>
    </row>
    <row r="92" spans="1:7" hidden="1" outlineLevel="1" x14ac:dyDescent="0.2">
      <c r="A92" s="22" t="s">
        <v>122</v>
      </c>
      <c r="B92" s="13" t="s">
        <v>179</v>
      </c>
      <c r="C92" s="637"/>
      <c r="D92" s="638"/>
      <c r="E92" s="638"/>
      <c r="F92" s="638"/>
      <c r="G92" s="639"/>
    </row>
    <row r="93" spans="1:7" hidden="1" outlineLevel="1" x14ac:dyDescent="0.2">
      <c r="A93" s="22" t="s">
        <v>123</v>
      </c>
      <c r="B93" s="13" t="s">
        <v>777</v>
      </c>
      <c r="C93" s="21"/>
      <c r="D93" s="12" t="s">
        <v>41</v>
      </c>
      <c r="E93" s="103"/>
      <c r="F93" s="12" t="s">
        <v>19</v>
      </c>
      <c r="G93" s="19">
        <f>C93/100*E93/1000</f>
        <v>0</v>
      </c>
    </row>
    <row r="94" spans="1:7" hidden="1" outlineLevel="1" x14ac:dyDescent="0.2">
      <c r="A94" s="22" t="s">
        <v>148</v>
      </c>
      <c r="B94" s="13" t="s">
        <v>756</v>
      </c>
      <c r="C94" s="21"/>
      <c r="D94" s="12" t="s">
        <v>41</v>
      </c>
      <c r="E94" s="103"/>
      <c r="F94" s="12" t="s">
        <v>19</v>
      </c>
      <c r="G94" s="19">
        <f>C94/100*E94/1000</f>
        <v>0</v>
      </c>
    </row>
    <row r="95" spans="1:7" hidden="1" outlineLevel="1" x14ac:dyDescent="0.2">
      <c r="A95" s="22" t="s">
        <v>153</v>
      </c>
      <c r="B95" s="13" t="s">
        <v>757</v>
      </c>
      <c r="C95" s="21"/>
      <c r="D95" s="12" t="s">
        <v>41</v>
      </c>
      <c r="E95" s="103"/>
      <c r="F95" s="12" t="s">
        <v>19</v>
      </c>
      <c r="G95" s="19">
        <f>C95/100*E95/1000</f>
        <v>0</v>
      </c>
    </row>
    <row r="96" spans="1:7" hidden="1" outlineLevel="1" x14ac:dyDescent="0.2">
      <c r="A96" s="22" t="s">
        <v>237</v>
      </c>
      <c r="B96" s="13" t="s">
        <v>758</v>
      </c>
      <c r="C96" s="21"/>
      <c r="D96" s="12" t="s">
        <v>41</v>
      </c>
      <c r="E96" s="103"/>
      <c r="F96" s="12" t="s">
        <v>19</v>
      </c>
      <c r="G96" s="19">
        <f>C96/100*E96/1000</f>
        <v>0</v>
      </c>
    </row>
    <row r="97" spans="1:7" hidden="1" outlineLevel="1" x14ac:dyDescent="0.2">
      <c r="A97" s="22" t="s">
        <v>238</v>
      </c>
      <c r="B97" s="13" t="s">
        <v>180</v>
      </c>
      <c r="C97" s="21"/>
      <c r="D97" s="12" t="s">
        <v>181</v>
      </c>
      <c r="E97" s="103"/>
      <c r="F97" s="12" t="s">
        <v>182</v>
      </c>
      <c r="G97" s="19">
        <f>C97*E97*12/1000</f>
        <v>0</v>
      </c>
    </row>
    <row r="98" spans="1:7" hidden="1" outlineLevel="1" x14ac:dyDescent="0.2">
      <c r="A98" s="22" t="s">
        <v>239</v>
      </c>
      <c r="B98" s="13" t="s">
        <v>183</v>
      </c>
      <c r="C98" s="21"/>
      <c r="D98" s="12" t="s">
        <v>184</v>
      </c>
      <c r="E98" s="103"/>
      <c r="F98" s="12" t="s">
        <v>185</v>
      </c>
      <c r="G98" s="19">
        <f>C98*E98*12/1000</f>
        <v>0</v>
      </c>
    </row>
    <row r="99" spans="1:7" hidden="1" outlineLevel="1" x14ac:dyDescent="0.2">
      <c r="A99" s="22" t="s">
        <v>369</v>
      </c>
      <c r="B99" s="13" t="s">
        <v>759</v>
      </c>
      <c r="C99" s="21"/>
      <c r="D99" s="12" t="s">
        <v>41</v>
      </c>
      <c r="E99" s="62">
        <f>E94</f>
        <v>0</v>
      </c>
      <c r="F99" s="12" t="s">
        <v>19</v>
      </c>
      <c r="G99" s="19">
        <f>C99/100*E99/1000</f>
        <v>0</v>
      </c>
    </row>
    <row r="100" spans="1:7" hidden="1" outlineLevel="1" x14ac:dyDescent="0.2">
      <c r="A100" s="22" t="s">
        <v>370</v>
      </c>
      <c r="B100" s="13" t="s">
        <v>760</v>
      </c>
      <c r="C100" s="21"/>
      <c r="D100" s="12" t="s">
        <v>41</v>
      </c>
      <c r="E100" s="62">
        <f>E95</f>
        <v>0</v>
      </c>
      <c r="F100" s="12" t="s">
        <v>19</v>
      </c>
      <c r="G100" s="19">
        <f>C100/100*E100/1000</f>
        <v>0</v>
      </c>
    </row>
    <row r="101" spans="1:7" hidden="1" outlineLevel="1" x14ac:dyDescent="0.2">
      <c r="A101" s="22" t="s">
        <v>371</v>
      </c>
      <c r="B101" s="13" t="s">
        <v>761</v>
      </c>
      <c r="C101" s="21"/>
      <c r="D101" s="12" t="s">
        <v>41</v>
      </c>
      <c r="E101" s="62">
        <f>E96</f>
        <v>0</v>
      </c>
      <c r="F101" s="12" t="s">
        <v>19</v>
      </c>
      <c r="G101" s="19">
        <f>C101/100*E101/1000</f>
        <v>0</v>
      </c>
    </row>
    <row r="102" spans="1:7" hidden="1" outlineLevel="1" x14ac:dyDescent="0.2">
      <c r="A102" s="22" t="s">
        <v>372</v>
      </c>
      <c r="B102" s="13" t="s">
        <v>680</v>
      </c>
      <c r="C102" s="21"/>
      <c r="D102" s="12" t="s">
        <v>186</v>
      </c>
      <c r="E102" s="62">
        <v>12</v>
      </c>
      <c r="F102" s="12" t="s">
        <v>187</v>
      </c>
      <c r="G102" s="19">
        <f>C102*E102/1000</f>
        <v>0</v>
      </c>
    </row>
    <row r="103" spans="1:7" hidden="1" outlineLevel="1" x14ac:dyDescent="0.2">
      <c r="A103" s="22" t="s">
        <v>373</v>
      </c>
      <c r="B103" s="13" t="s">
        <v>794</v>
      </c>
      <c r="C103" s="21"/>
      <c r="D103" s="12" t="s">
        <v>181</v>
      </c>
      <c r="E103" s="62">
        <f>E97</f>
        <v>0</v>
      </c>
      <c r="F103" s="12" t="s">
        <v>182</v>
      </c>
      <c r="G103" s="19">
        <f>C103*E103*12/1000</f>
        <v>0</v>
      </c>
    </row>
    <row r="104" spans="1:7" hidden="1" outlineLevel="1" x14ac:dyDescent="0.2">
      <c r="A104" s="22" t="s">
        <v>413</v>
      </c>
      <c r="B104" s="13" t="s">
        <v>681</v>
      </c>
      <c r="C104" s="21"/>
      <c r="D104" s="12" t="s">
        <v>184</v>
      </c>
      <c r="E104" s="62">
        <f>E98</f>
        <v>0</v>
      </c>
      <c r="F104" s="12" t="s">
        <v>185</v>
      </c>
      <c r="G104" s="19">
        <f>C104*E104*12/1000</f>
        <v>0</v>
      </c>
    </row>
    <row r="105" spans="1:7" hidden="1" outlineLevel="1" x14ac:dyDescent="0.2">
      <c r="A105" s="22" t="s">
        <v>414</v>
      </c>
      <c r="B105" s="13" t="s">
        <v>264</v>
      </c>
      <c r="C105" s="21"/>
      <c r="D105" s="12" t="s">
        <v>265</v>
      </c>
      <c r="E105" s="103"/>
      <c r="F105" s="12" t="s">
        <v>266</v>
      </c>
      <c r="G105" s="19">
        <f>C105/100*E105/1000</f>
        <v>0</v>
      </c>
    </row>
    <row r="106" spans="1:7" hidden="1" outlineLevel="1" x14ac:dyDescent="0.2">
      <c r="A106" s="22" t="s">
        <v>415</v>
      </c>
      <c r="B106" s="13" t="s">
        <v>267</v>
      </c>
      <c r="C106" s="21"/>
      <c r="D106" s="12" t="s">
        <v>265</v>
      </c>
      <c r="E106" s="103"/>
      <c r="F106" s="12" t="s">
        <v>266</v>
      </c>
      <c r="G106" s="19">
        <f>C106/100*E106/1000</f>
        <v>0</v>
      </c>
    </row>
    <row r="107" spans="1:7" hidden="1" outlineLevel="1" x14ac:dyDescent="0.2">
      <c r="A107" s="22" t="s">
        <v>416</v>
      </c>
      <c r="B107" s="13" t="s">
        <v>268</v>
      </c>
      <c r="C107" s="21"/>
      <c r="D107" s="12" t="s">
        <v>41</v>
      </c>
      <c r="E107" s="62">
        <f>E94+E95+E96</f>
        <v>0</v>
      </c>
      <c r="F107" s="12" t="s">
        <v>19</v>
      </c>
      <c r="G107" s="19">
        <f>C107/100*E107/1000</f>
        <v>0</v>
      </c>
    </row>
    <row r="108" spans="1:7" hidden="1" outlineLevel="1" x14ac:dyDescent="0.2">
      <c r="A108" s="22" t="s">
        <v>737</v>
      </c>
      <c r="B108" s="13" t="s">
        <v>269</v>
      </c>
      <c r="C108" s="21"/>
      <c r="D108" s="12" t="s">
        <v>41</v>
      </c>
      <c r="E108" s="62">
        <f>E107</f>
        <v>0</v>
      </c>
      <c r="F108" s="12" t="s">
        <v>19</v>
      </c>
      <c r="G108" s="19">
        <f>C108/100*E108/1000</f>
        <v>0</v>
      </c>
    </row>
    <row r="109" spans="1:7" collapsed="1" x14ac:dyDescent="0.2">
      <c r="A109" s="22" t="s">
        <v>808</v>
      </c>
      <c r="B109" s="13" t="s">
        <v>801</v>
      </c>
      <c r="C109" s="21"/>
      <c r="D109" s="12" t="s">
        <v>41</v>
      </c>
      <c r="E109" s="62">
        <f>E107</f>
        <v>0</v>
      </c>
      <c r="F109" s="12" t="s">
        <v>19</v>
      </c>
      <c r="G109" s="19">
        <f t="shared" ref="G109" si="4">C109/100*E109/1000</f>
        <v>0</v>
      </c>
    </row>
    <row r="110" spans="1:7" x14ac:dyDescent="0.2">
      <c r="A110" s="22" t="s">
        <v>809</v>
      </c>
      <c r="B110" s="13" t="s">
        <v>810</v>
      </c>
      <c r="C110" s="21"/>
      <c r="D110" s="12" t="s">
        <v>41</v>
      </c>
      <c r="E110" s="62">
        <f>E107</f>
        <v>0</v>
      </c>
      <c r="F110" s="12" t="s">
        <v>19</v>
      </c>
      <c r="G110" s="19">
        <f>C110/100*E110/1000</f>
        <v>0</v>
      </c>
    </row>
    <row r="111" spans="1:7" outlineLevel="1" x14ac:dyDescent="0.2">
      <c r="A111" s="22" t="s">
        <v>150</v>
      </c>
      <c r="B111" s="640" t="s">
        <v>196</v>
      </c>
      <c r="C111" s="641"/>
      <c r="D111" s="641"/>
      <c r="E111" s="641"/>
      <c r="F111" s="642"/>
      <c r="G111" s="26">
        <f>SUM(G93:G110)</f>
        <v>0</v>
      </c>
    </row>
    <row r="113" spans="1:7" ht="15.75" x14ac:dyDescent="0.25">
      <c r="A113" s="51" t="s">
        <v>171</v>
      </c>
      <c r="B113" s="653" t="s">
        <v>690</v>
      </c>
      <c r="C113" s="653"/>
      <c r="D113" s="653"/>
      <c r="E113" s="653"/>
      <c r="F113" s="653"/>
      <c r="G113" s="4">
        <f>G36+G61+G86+G111</f>
        <v>8.7631406700000003</v>
      </c>
    </row>
    <row r="114" spans="1:7" x14ac:dyDescent="0.2">
      <c r="A114" s="40" t="s">
        <v>199</v>
      </c>
      <c r="B114" s="652" t="s">
        <v>200</v>
      </c>
      <c r="C114" s="652"/>
      <c r="D114" s="652"/>
      <c r="E114" s="62">
        <f>E32+E57+E82+E107</f>
        <v>52387</v>
      </c>
      <c r="F114" s="636" t="s">
        <v>19</v>
      </c>
      <c r="G114" s="636"/>
    </row>
    <row r="115" spans="1:7" x14ac:dyDescent="0.2">
      <c r="A115" s="40" t="s">
        <v>201</v>
      </c>
      <c r="B115" s="652" t="s">
        <v>762</v>
      </c>
      <c r="C115" s="652"/>
      <c r="D115" s="652"/>
      <c r="E115" s="197">
        <f>IF(E114=0,0,G113*1000/E114)</f>
        <v>0.16727700899078016</v>
      </c>
      <c r="F115" s="636" t="s">
        <v>146</v>
      </c>
      <c r="G115" s="636"/>
    </row>
    <row r="116" spans="1:7" x14ac:dyDescent="0.2">
      <c r="A116" s="41"/>
    </row>
    <row r="117" spans="1:7" x14ac:dyDescent="0.2">
      <c r="A117" s="41"/>
    </row>
    <row r="118" spans="1:7" ht="15" x14ac:dyDescent="0.25">
      <c r="A118" s="220" t="s">
        <v>691</v>
      </c>
    </row>
    <row r="119" spans="1:7" ht="15" x14ac:dyDescent="0.25">
      <c r="A119" s="220" t="s">
        <v>671</v>
      </c>
    </row>
    <row r="120" spans="1:7" ht="15" x14ac:dyDescent="0.25">
      <c r="A120" s="220" t="s">
        <v>675</v>
      </c>
    </row>
    <row r="121" spans="1:7" ht="15" x14ac:dyDescent="0.25">
      <c r="A121" s="220" t="s">
        <v>672</v>
      </c>
    </row>
  </sheetData>
  <mergeCells count="29">
    <mergeCell ref="C67:G67"/>
    <mergeCell ref="B111:F111"/>
    <mergeCell ref="B88:G88"/>
    <mergeCell ref="C89:G89"/>
    <mergeCell ref="B114:D114"/>
    <mergeCell ref="C92:G92"/>
    <mergeCell ref="F114:G114"/>
    <mergeCell ref="C17:G17"/>
    <mergeCell ref="C41:G41"/>
    <mergeCell ref="C42:G42"/>
    <mergeCell ref="C66:G66"/>
    <mergeCell ref="C40:G40"/>
    <mergeCell ref="B61:F61"/>
    <mergeCell ref="F115:G115"/>
    <mergeCell ref="C39:G39"/>
    <mergeCell ref="B13:G13"/>
    <mergeCell ref="C14:G14"/>
    <mergeCell ref="C15:G15"/>
    <mergeCell ref="B36:F36"/>
    <mergeCell ref="B38:G38"/>
    <mergeCell ref="B63:G63"/>
    <mergeCell ref="C64:G64"/>
    <mergeCell ref="C91:G91"/>
    <mergeCell ref="C65:G65"/>
    <mergeCell ref="B86:F86"/>
    <mergeCell ref="B115:D115"/>
    <mergeCell ref="C90:G90"/>
    <mergeCell ref="B113:F113"/>
    <mergeCell ref="C16:G16"/>
  </mergeCells>
  <phoneticPr fontId="12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eht14">
    <pageSetUpPr fitToPage="1"/>
  </sheetPr>
  <dimension ref="A2:O103"/>
  <sheetViews>
    <sheetView zoomScaleNormal="100" workbookViewId="0">
      <selection activeCell="K27" sqref="K27"/>
    </sheetView>
  </sheetViews>
  <sheetFormatPr defaultColWidth="9" defaultRowHeight="12.75" outlineLevelRow="1" x14ac:dyDescent="0.2"/>
  <cols>
    <col min="1" max="1" width="9" style="6"/>
    <col min="2" max="2" width="36.875" style="6" customWidth="1"/>
    <col min="3" max="3" width="11.625" style="6" customWidth="1"/>
    <col min="4" max="4" width="12.875" style="6" customWidth="1"/>
    <col min="5" max="5" width="12.5" style="6" customWidth="1"/>
    <col min="6" max="6" width="12.375" style="6" customWidth="1"/>
    <col min="7" max="7" width="12.5" style="6" customWidth="1"/>
    <col min="8" max="8" width="12.375" style="6" customWidth="1"/>
    <col min="9" max="9" width="9" style="6"/>
    <col min="10" max="10" width="22.5" style="6" customWidth="1"/>
    <col min="11" max="11" width="10.875" style="6" customWidth="1"/>
    <col min="12" max="16384" width="9" style="6"/>
  </cols>
  <sheetData>
    <row r="2" spans="1:15" ht="18.75" x14ac:dyDescent="0.3">
      <c r="A2" s="106" t="s">
        <v>554</v>
      </c>
      <c r="C2" s="9"/>
    </row>
    <row r="3" spans="1:15" ht="17.25" customHeight="1" x14ac:dyDescent="0.2">
      <c r="A3" s="9"/>
      <c r="C3" s="9"/>
      <c r="J3" s="666" t="s">
        <v>796</v>
      </c>
      <c r="K3" s="654" t="s">
        <v>677</v>
      </c>
      <c r="L3" s="655"/>
      <c r="M3" s="655"/>
      <c r="N3" s="655"/>
      <c r="O3" s="656"/>
    </row>
    <row r="4" spans="1:15" ht="22.5" customHeight="1" x14ac:dyDescent="0.2">
      <c r="A4" s="17" t="s">
        <v>177</v>
      </c>
      <c r="B4" s="3" t="s">
        <v>22</v>
      </c>
      <c r="C4" s="10" t="s">
        <v>0</v>
      </c>
      <c r="D4" s="11" t="s">
        <v>345</v>
      </c>
      <c r="E4" s="11" t="s">
        <v>346</v>
      </c>
      <c r="F4" s="11" t="s">
        <v>347</v>
      </c>
      <c r="G4" s="11" t="s">
        <v>329</v>
      </c>
      <c r="H4" s="11" t="s">
        <v>348</v>
      </c>
      <c r="J4" s="666"/>
      <c r="K4" s="490">
        <v>42005</v>
      </c>
      <c r="L4" s="490">
        <v>45474</v>
      </c>
      <c r="M4" s="490">
        <v>45658</v>
      </c>
      <c r="N4" s="490">
        <v>46023</v>
      </c>
      <c r="O4" s="490">
        <v>46388</v>
      </c>
    </row>
    <row r="5" spans="1:15" s="66" customFormat="1" ht="15.95" customHeight="1" x14ac:dyDescent="0.2">
      <c r="A5" s="112"/>
      <c r="B5" s="42" t="s">
        <v>329</v>
      </c>
      <c r="C5" s="112" t="s">
        <v>46</v>
      </c>
      <c r="D5" s="128" t="str">
        <f>'B. Algandmed'!$D$6</f>
        <v>2023</v>
      </c>
      <c r="E5" s="128" t="str">
        <f>'B. Algandmed'!$E$6</f>
        <v>2024</v>
      </c>
      <c r="F5" s="128" t="str">
        <f>'B. Algandmed'!$F$6</f>
        <v>2025</v>
      </c>
      <c r="G5" s="128" t="str">
        <f>'B. Algandmed'!$G$6</f>
        <v>2026</v>
      </c>
      <c r="H5" s="133" t="str">
        <f>'B. Algandmed'!H6</f>
        <v>2027</v>
      </c>
      <c r="J5" s="494" t="s">
        <v>25</v>
      </c>
      <c r="K5" s="491">
        <v>122.32</v>
      </c>
      <c r="L5" s="491">
        <v>140.66999999999999</v>
      </c>
      <c r="M5" s="491">
        <v>161.77000000000001</v>
      </c>
      <c r="N5" s="491">
        <v>186.03</v>
      </c>
      <c r="O5" s="491">
        <v>213.94</v>
      </c>
    </row>
    <row r="6" spans="1:15" x14ac:dyDescent="0.2">
      <c r="A6" s="13">
        <v>1</v>
      </c>
      <c r="B6" s="13" t="s">
        <v>211</v>
      </c>
      <c r="C6" s="12" t="s">
        <v>6</v>
      </c>
      <c r="D6" s="58">
        <v>1.35684</v>
      </c>
      <c r="E6" s="58">
        <v>1.68797</v>
      </c>
      <c r="F6" s="58">
        <v>0</v>
      </c>
      <c r="G6" s="52">
        <f>E24+E41+E56+E73+E89</f>
        <v>0</v>
      </c>
      <c r="H6" s="52">
        <f>H24+H41+H56+H73+H89</f>
        <v>0</v>
      </c>
      <c r="J6" s="493" t="s">
        <v>23</v>
      </c>
      <c r="K6" s="491">
        <v>7.7</v>
      </c>
      <c r="L6" s="491">
        <v>8.4700000000000006</v>
      </c>
      <c r="M6" s="491">
        <v>9.32</v>
      </c>
      <c r="N6" s="491">
        <v>10.25</v>
      </c>
      <c r="O6" s="491">
        <v>11.27</v>
      </c>
    </row>
    <row r="7" spans="1:15" ht="13.5" x14ac:dyDescent="0.25">
      <c r="A7" s="13">
        <v>2</v>
      </c>
      <c r="B7" s="20" t="s">
        <v>420</v>
      </c>
      <c r="C7" s="12" t="s">
        <v>6</v>
      </c>
      <c r="D7" s="58"/>
      <c r="E7" s="58"/>
      <c r="F7" s="58"/>
      <c r="G7" s="58"/>
      <c r="H7" s="58"/>
      <c r="I7" s="41"/>
      <c r="J7" s="493" t="s">
        <v>205</v>
      </c>
      <c r="K7" s="491">
        <v>122.32</v>
      </c>
      <c r="L7" s="491">
        <v>140.66999999999999</v>
      </c>
      <c r="M7" s="491">
        <v>161.77000000000001</v>
      </c>
      <c r="N7" s="491">
        <v>186.03</v>
      </c>
      <c r="O7" s="491">
        <v>213.94</v>
      </c>
    </row>
    <row r="8" spans="1:15" x14ac:dyDescent="0.2">
      <c r="A8" s="40" t="s">
        <v>171</v>
      </c>
      <c r="B8" s="24" t="s">
        <v>320</v>
      </c>
      <c r="C8" s="25" t="s">
        <v>6</v>
      </c>
      <c r="D8" s="247">
        <f>SUM(D6:D7)</f>
        <v>1.35684</v>
      </c>
      <c r="E8" s="247">
        <f>SUM(E6:E7)</f>
        <v>1.68797</v>
      </c>
      <c r="F8" s="247">
        <f>SUM(F6:F7)</f>
        <v>0</v>
      </c>
      <c r="G8" s="247">
        <f>SUM(G6:G7)</f>
        <v>0</v>
      </c>
      <c r="H8" s="247">
        <f>SUM(H6:H7)</f>
        <v>0</v>
      </c>
      <c r="J8" s="493" t="s">
        <v>204</v>
      </c>
      <c r="K8" s="491">
        <v>146.16</v>
      </c>
      <c r="L8" s="491">
        <v>168.08</v>
      </c>
      <c r="M8" s="491">
        <v>193.3</v>
      </c>
      <c r="N8" s="491">
        <v>222.29</v>
      </c>
      <c r="O8" s="491">
        <v>255.63</v>
      </c>
    </row>
    <row r="9" spans="1:15" x14ac:dyDescent="0.2">
      <c r="J9" s="493" t="s">
        <v>210</v>
      </c>
      <c r="K9" s="491">
        <v>145.46</v>
      </c>
      <c r="L9" s="491">
        <v>160.01</v>
      </c>
      <c r="M9" s="491">
        <v>176.01</v>
      </c>
      <c r="N9" s="491">
        <v>193.61</v>
      </c>
      <c r="O9" s="491">
        <v>212.97</v>
      </c>
    </row>
    <row r="10" spans="1:15" x14ac:dyDescent="0.2">
      <c r="J10" s="493" t="s">
        <v>206</v>
      </c>
      <c r="K10" s="491">
        <v>1278</v>
      </c>
      <c r="L10" s="491">
        <v>1405.8</v>
      </c>
      <c r="M10" s="491">
        <v>1546.38</v>
      </c>
      <c r="N10" s="491">
        <v>1701.02</v>
      </c>
      <c r="O10" s="491">
        <v>1871.12</v>
      </c>
    </row>
    <row r="11" spans="1:15" ht="15.75" x14ac:dyDescent="0.25">
      <c r="A11" s="39" t="s">
        <v>625</v>
      </c>
      <c r="J11" s="493" t="s">
        <v>26</v>
      </c>
      <c r="K11" s="492">
        <v>2</v>
      </c>
      <c r="L11" s="492">
        <v>25</v>
      </c>
      <c r="M11" s="492">
        <v>25</v>
      </c>
      <c r="N11" s="492">
        <v>25</v>
      </c>
      <c r="O11" s="492">
        <v>25</v>
      </c>
    </row>
    <row r="12" spans="1:15" ht="12.75" customHeight="1" x14ac:dyDescent="0.2">
      <c r="J12" s="657" t="s">
        <v>811</v>
      </c>
      <c r="K12" s="658"/>
      <c r="L12" s="658"/>
      <c r="M12" s="658"/>
      <c r="N12" s="658"/>
      <c r="O12" s="659"/>
    </row>
    <row r="13" spans="1:15" ht="13.5" thickBot="1" x14ac:dyDescent="0.25">
      <c r="A13" s="14" t="s">
        <v>408</v>
      </c>
      <c r="D13" s="342"/>
      <c r="E13" s="342"/>
      <c r="J13" s="660"/>
      <c r="K13" s="661"/>
      <c r="L13" s="661"/>
      <c r="M13" s="661"/>
      <c r="N13" s="661"/>
      <c r="O13" s="662"/>
    </row>
    <row r="14" spans="1:15" ht="12.75" customHeight="1" outlineLevel="1" x14ac:dyDescent="0.2">
      <c r="A14" s="14"/>
      <c r="B14" s="354"/>
      <c r="C14" s="355" t="str">
        <f>'B. Algandmed'!G6</f>
        <v>2026</v>
      </c>
      <c r="D14" s="667" t="s">
        <v>349</v>
      </c>
      <c r="E14" s="668"/>
      <c r="F14" s="361" t="str">
        <f>'B. Algandmed'!H6</f>
        <v>2027</v>
      </c>
      <c r="G14" s="667" t="s">
        <v>349</v>
      </c>
      <c r="H14" s="668"/>
      <c r="J14" s="663"/>
      <c r="K14" s="664"/>
      <c r="L14" s="664"/>
      <c r="M14" s="664"/>
      <c r="N14" s="664"/>
      <c r="O14" s="665"/>
    </row>
    <row r="15" spans="1:15" ht="12.75" customHeight="1" outlineLevel="1" x14ac:dyDescent="0.2">
      <c r="B15" s="344" t="s">
        <v>360</v>
      </c>
      <c r="C15" s="188"/>
      <c r="D15" s="669"/>
      <c r="E15" s="670"/>
      <c r="F15" s="362"/>
      <c r="G15" s="669"/>
      <c r="H15" s="670"/>
    </row>
    <row r="16" spans="1:15" ht="12.75" customHeight="1" outlineLevel="1" x14ac:dyDescent="0.2">
      <c r="B16" s="344" t="s">
        <v>665</v>
      </c>
      <c r="C16" s="21"/>
      <c r="D16" s="669"/>
      <c r="E16" s="670"/>
      <c r="F16" s="369"/>
      <c r="G16" s="669"/>
      <c r="H16" s="670"/>
    </row>
    <row r="17" spans="1:10" ht="12.75" customHeight="1" outlineLevel="1" x14ac:dyDescent="0.2">
      <c r="B17" s="344" t="s">
        <v>24</v>
      </c>
      <c r="C17" s="62">
        <f>C15*C16</f>
        <v>0</v>
      </c>
      <c r="D17" s="671"/>
      <c r="E17" s="672"/>
      <c r="F17" s="364">
        <f>F15*F16</f>
        <v>0</v>
      </c>
      <c r="G17" s="671"/>
      <c r="H17" s="672"/>
    </row>
    <row r="18" spans="1:10" ht="12.75" customHeight="1" outlineLevel="1" x14ac:dyDescent="0.2">
      <c r="B18" s="678" t="s">
        <v>20</v>
      </c>
      <c r="C18" s="679" t="s">
        <v>42</v>
      </c>
      <c r="D18" s="366">
        <f>YEAR('B. Algandmed'!H3)</f>
        <v>2026</v>
      </c>
      <c r="E18" s="675" t="s">
        <v>631</v>
      </c>
      <c r="F18" s="680" t="s">
        <v>42</v>
      </c>
      <c r="G18" s="366">
        <f>D18+1</f>
        <v>2027</v>
      </c>
      <c r="H18" s="675" t="s">
        <v>631</v>
      </c>
    </row>
    <row r="19" spans="1:10" ht="26.1" customHeight="1" outlineLevel="1" x14ac:dyDescent="0.2">
      <c r="B19" s="678"/>
      <c r="C19" s="679"/>
      <c r="D19" s="360" t="s">
        <v>630</v>
      </c>
      <c r="E19" s="675"/>
      <c r="F19" s="680"/>
      <c r="G19" s="360" t="s">
        <v>630</v>
      </c>
      <c r="H19" s="675"/>
    </row>
    <row r="20" spans="1:10" ht="12.75" customHeight="1" outlineLevel="1" x14ac:dyDescent="0.2">
      <c r="B20" s="344" t="s">
        <v>25</v>
      </c>
      <c r="C20" s="189">
        <f>(10^-6)*C17*3.6*60</f>
        <v>0</v>
      </c>
      <c r="D20" s="53">
        <f>IF(D$18&lt;YEAR($L$4),$K$5,IF(D$18=YEAR($L$4),$L$5,IF(D$18=YEAR($M$4),$M$5,IF(D$18=YEAR($N$4),$N$5,$O$5))))</f>
        <v>186.03</v>
      </c>
      <c r="E20" s="345">
        <f>ROUND(C20*D20/1000,2)</f>
        <v>0</v>
      </c>
      <c r="F20" s="424">
        <f>(10^-6)*F17*3.6*60</f>
        <v>0</v>
      </c>
      <c r="G20" s="53">
        <f>IF(G$18&lt;YEAR($L$4),$K$5,IF(G$18=YEAR($L$4),$L$5,IF(G$18=YEAR($M$4),$M$5,IF(G$18=YEAR($N$4),$N$5,$O$5))))</f>
        <v>213.94</v>
      </c>
      <c r="H20" s="345">
        <f>ROUND(F20*G20/1000,2)</f>
        <v>0</v>
      </c>
    </row>
    <row r="21" spans="1:10" ht="12.75" customHeight="1" outlineLevel="1" x14ac:dyDescent="0.2">
      <c r="B21" s="344" t="s">
        <v>23</v>
      </c>
      <c r="C21" s="189">
        <f>(10^-6)*C17*3.6*60</f>
        <v>0</v>
      </c>
      <c r="D21" s="53">
        <f>IF(D$18&lt;YEAR($L$4),$K$6,IF(D$18=YEAR($L$4),$L$6,IF(D$18=YEAR($M$4),$M$6,IF(D$18=YEAR($N$4),$N$6,$O$6))))</f>
        <v>10.25</v>
      </c>
      <c r="E21" s="345">
        <f>ROUND(C21*D21/1000,2)</f>
        <v>0</v>
      </c>
      <c r="F21" s="424">
        <f>(10^-6)*F17*3.6*60</f>
        <v>0</v>
      </c>
      <c r="G21" s="53">
        <f>IF(G$18&lt;YEAR($L$4),$K$6,IF(G$18=YEAR($L$4),$L$6,IF(G$18=YEAR($M$4),$M$6,IF(G$18=YEAR($N$4),$N$6,$O$6))))</f>
        <v>11.27</v>
      </c>
      <c r="H21" s="345">
        <f>ROUND(F21*G21/1000,2)</f>
        <v>0</v>
      </c>
      <c r="J21" s="500"/>
    </row>
    <row r="22" spans="1:10" ht="12.75" customHeight="1" outlineLevel="1" x14ac:dyDescent="0.2">
      <c r="B22" s="344" t="s">
        <v>205</v>
      </c>
      <c r="C22" s="189">
        <f>(10^-6)*C17*3.6*4</f>
        <v>0</v>
      </c>
      <c r="D22" s="53">
        <f>IF(D$18&lt;YEAR($L$4),$K$7,IF(D$18=YEAR($L$4),$L$7,IF(D$18=YEAR($M$4),$M$7,IF(D$18=YEAR($N$4),$N$7,$O$7))))</f>
        <v>186.03</v>
      </c>
      <c r="E22" s="345">
        <f>ROUND(C22*D22/1000,2)</f>
        <v>0</v>
      </c>
      <c r="F22" s="424">
        <f>(10^-6)*F17*3.6*4</f>
        <v>0</v>
      </c>
      <c r="G22" s="53">
        <f>IF(G$18&lt;YEAR($L$4),$K$7,IF(G$18=YEAR($L$4),$L$7,IF(G$18=YEAR($M$4),$M$7,IF(G$18=YEAR($N$4),$N$7,$O$7))))</f>
        <v>213.94</v>
      </c>
      <c r="H22" s="345">
        <f>ROUND(F22*G22/1000,2)</f>
        <v>0</v>
      </c>
      <c r="J22" s="500"/>
    </row>
    <row r="23" spans="1:10" ht="12.75" customHeight="1" outlineLevel="1" x14ac:dyDescent="0.2">
      <c r="B23" s="344" t="s">
        <v>26</v>
      </c>
      <c r="C23" s="189">
        <f>(10^-3)*C17*3.6*15.3*1*3.664</f>
        <v>0</v>
      </c>
      <c r="D23" s="53">
        <f>IF(D$18&lt;YEAR($L$4),$K$11,IF(D$18=YEAR($L$4),$L$11,IF(D$18=YEAR($M$4),$M$11,IF(D$18=YEAR($N$4),$N$11,$O$11))))</f>
        <v>25</v>
      </c>
      <c r="E23" s="345">
        <f>ROUND(C23*D23/1000,2)</f>
        <v>0</v>
      </c>
      <c r="F23" s="424">
        <f>(10^-3)*F17*3.6*15.3*1*3.664</f>
        <v>0</v>
      </c>
      <c r="G23" s="53">
        <f>IF(G$18&lt;YEAR($L$4),$K$11,IF(G$18=YEAR($L$4),$L$11,IF(G$18=YEAR($M$4),$M$11,IF(G$18=YEAR($N$4),$N$11,$O$11))))</f>
        <v>25</v>
      </c>
      <c r="H23" s="345">
        <f>ROUND(F23*G23/1000,2)</f>
        <v>0</v>
      </c>
    </row>
    <row r="24" spans="1:10" ht="12.75" customHeight="1" outlineLevel="1" thickBot="1" x14ac:dyDescent="0.25">
      <c r="B24" s="346" t="s">
        <v>21</v>
      </c>
      <c r="C24" s="347">
        <f>SUM(C20:C23)</f>
        <v>0</v>
      </c>
      <c r="D24" s="348"/>
      <c r="E24" s="349">
        <f>SUM(E20:E23)</f>
        <v>0</v>
      </c>
      <c r="F24" s="350">
        <f>SUM(F20:F23)</f>
        <v>0</v>
      </c>
      <c r="G24" s="348"/>
      <c r="H24" s="349">
        <f>SUM(H20:H23)</f>
        <v>0</v>
      </c>
    </row>
    <row r="25" spans="1:10" ht="12.75" customHeight="1" x14ac:dyDescent="0.2">
      <c r="J25" s="123"/>
    </row>
    <row r="26" spans="1:10" ht="12.75" customHeight="1" thickBot="1" x14ac:dyDescent="0.25">
      <c r="A26" s="14" t="s">
        <v>207</v>
      </c>
    </row>
    <row r="27" spans="1:10" ht="12.75" customHeight="1" outlineLevel="1" x14ac:dyDescent="0.2">
      <c r="A27" s="14"/>
      <c r="B27" s="354"/>
      <c r="C27" s="355" t="str">
        <f>C14</f>
        <v>2026</v>
      </c>
      <c r="D27" s="667" t="s">
        <v>349</v>
      </c>
      <c r="E27" s="668"/>
      <c r="F27" s="356" t="str">
        <f>F14</f>
        <v>2027</v>
      </c>
      <c r="G27" s="667" t="s">
        <v>349</v>
      </c>
      <c r="H27" s="668"/>
    </row>
    <row r="28" spans="1:10" ht="12.75" customHeight="1" outlineLevel="1" x14ac:dyDescent="0.2">
      <c r="A28" s="14"/>
      <c r="B28" s="344" t="s">
        <v>208</v>
      </c>
      <c r="C28" s="188"/>
      <c r="D28" s="669"/>
      <c r="E28" s="670"/>
      <c r="F28" s="357"/>
      <c r="G28" s="669"/>
      <c r="H28" s="670"/>
    </row>
    <row r="29" spans="1:10" ht="12.75" customHeight="1" outlineLevel="1" x14ac:dyDescent="0.2">
      <c r="A29" s="14"/>
      <c r="B29" s="344" t="s">
        <v>666</v>
      </c>
      <c r="C29" s="21">
        <v>10.8</v>
      </c>
      <c r="D29" s="669"/>
      <c r="E29" s="670"/>
      <c r="F29" s="367">
        <v>10.8</v>
      </c>
      <c r="G29" s="669"/>
      <c r="H29" s="670"/>
    </row>
    <row r="30" spans="1:10" ht="12.75" customHeight="1" outlineLevel="1" x14ac:dyDescent="0.2">
      <c r="B30" s="344" t="s">
        <v>209</v>
      </c>
      <c r="C30" s="353">
        <v>0.8</v>
      </c>
      <c r="D30" s="669"/>
      <c r="E30" s="670"/>
      <c r="F30" s="370">
        <v>0.8</v>
      </c>
      <c r="G30" s="669"/>
      <c r="H30" s="670"/>
    </row>
    <row r="31" spans="1:10" ht="12.75" customHeight="1" outlineLevel="1" x14ac:dyDescent="0.2">
      <c r="B31" s="344" t="s">
        <v>24</v>
      </c>
      <c r="C31" s="62">
        <f>C28*C29</f>
        <v>0</v>
      </c>
      <c r="D31" s="671"/>
      <c r="E31" s="672"/>
      <c r="F31" s="368">
        <f>F28*F29</f>
        <v>0</v>
      </c>
      <c r="G31" s="671"/>
      <c r="H31" s="672"/>
    </row>
    <row r="32" spans="1:10" ht="15.75" customHeight="1" outlineLevel="1" x14ac:dyDescent="0.2">
      <c r="B32" s="678" t="s">
        <v>20</v>
      </c>
      <c r="C32" s="679" t="s">
        <v>42</v>
      </c>
      <c r="D32" s="366">
        <f>D18</f>
        <v>2026</v>
      </c>
      <c r="E32" s="675" t="s">
        <v>631</v>
      </c>
      <c r="F32" s="683" t="s">
        <v>42</v>
      </c>
      <c r="G32" s="366">
        <f>G18</f>
        <v>2027</v>
      </c>
      <c r="H32" s="675" t="s">
        <v>631</v>
      </c>
    </row>
    <row r="33" spans="1:14" ht="26.1" customHeight="1" outlineLevel="1" x14ac:dyDescent="0.2">
      <c r="B33" s="678"/>
      <c r="C33" s="679"/>
      <c r="D33" s="360" t="s">
        <v>630</v>
      </c>
      <c r="E33" s="675"/>
      <c r="F33" s="683"/>
      <c r="G33" s="360" t="s">
        <v>630</v>
      </c>
      <c r="H33" s="675"/>
    </row>
    <row r="34" spans="1:14" ht="12.75" customHeight="1" outlineLevel="1" x14ac:dyDescent="0.2">
      <c r="B34" s="344" t="s">
        <v>25</v>
      </c>
      <c r="C34" s="189">
        <f>(10^-6)*C31*3.6*150</f>
        <v>0</v>
      </c>
      <c r="D34" s="53">
        <f>IF(D$32&lt;YEAR($L$4),$K$5,IF(D$32=YEAR($L$4),$L$5,IF(D$32=YEAR($M$4),$M$5,IF(D$32=YEAR($N$4),$N$5,$O$5))))</f>
        <v>186.03</v>
      </c>
      <c r="E34" s="345">
        <f t="shared" ref="E34:E40" si="0">ROUND(C34*D34/1000,2)</f>
        <v>0</v>
      </c>
      <c r="F34" s="423">
        <f>(10^-6)*F31*3.6*150</f>
        <v>0</v>
      </c>
      <c r="G34" s="53">
        <f>IF(G$32&lt;YEAR($L$4),$K$5,IF(G$32=YEAR($L$4),$L$5,IF(G$32=YEAR($M$4),$M$5,IF(G$32=YEAR($N$4),$N$5,$O$5))))</f>
        <v>213.94</v>
      </c>
      <c r="H34" s="345">
        <f t="shared" ref="H34:H40" si="1">ROUND(F34*G34/1000,2)</f>
        <v>0</v>
      </c>
      <c r="K34" s="55"/>
    </row>
    <row r="35" spans="1:14" ht="12.75" customHeight="1" outlineLevel="1" x14ac:dyDescent="0.2">
      <c r="B35" s="344" t="s">
        <v>23</v>
      </c>
      <c r="C35" s="189">
        <f>(10^-6)*C31*3.6*100</f>
        <v>0</v>
      </c>
      <c r="D35" s="53">
        <f>IF(D$32&lt;YEAR($L$4),$K$6,IF(D$32=YEAR($L$4),$L$6,IF(D$32=YEAR($M$4),$M$6,IF(D$32=YEAR($N$4),$N$6,$O$6))))</f>
        <v>10.25</v>
      </c>
      <c r="E35" s="345">
        <f t="shared" si="0"/>
        <v>0</v>
      </c>
      <c r="F35" s="423">
        <f>(10^-6)*F31*3.6*100</f>
        <v>0</v>
      </c>
      <c r="G35" s="53">
        <f>IF(G$32&lt;YEAR($L$4),$K$6,IF(G$32=YEAR($L$4),$L$6,IF(G$32=YEAR($M$4),$M$6,IF(G$32=YEAR($N$4),$N$6,$O$6))))</f>
        <v>11.27</v>
      </c>
      <c r="H35" s="345">
        <f t="shared" si="1"/>
        <v>0</v>
      </c>
      <c r="K35" s="55"/>
    </row>
    <row r="36" spans="1:14" ht="12.75" customHeight="1" outlineLevel="1" x14ac:dyDescent="0.2">
      <c r="B36" s="344" t="s">
        <v>205</v>
      </c>
      <c r="C36" s="189">
        <f>(10^-6)*C31*3.6*1.1</f>
        <v>0</v>
      </c>
      <c r="D36" s="53">
        <f>IF(D$32&lt;YEAR($L$4),$K$7,IF(D$32=YEAR($L$4),$L$7,IF(D$32=YEAR($M$4),$M$7,IF(D$32=YEAR($N$4),$N$7,$O$7))))</f>
        <v>186.03</v>
      </c>
      <c r="E36" s="345">
        <f t="shared" si="0"/>
        <v>0</v>
      </c>
      <c r="F36" s="423">
        <f>(10^-6)*F31*3.6*1.1</f>
        <v>0</v>
      </c>
      <c r="G36" s="53">
        <f>IF(G$32&lt;YEAR($L$4),$K$7,IF(G$32=YEAR($L$4),$L$7,IF(G$32=YEAR($M$4),$M$7,IF(G$32=YEAR($N$4),$N$7,$O$7))))</f>
        <v>213.94</v>
      </c>
      <c r="H36" s="345">
        <f t="shared" si="1"/>
        <v>0</v>
      </c>
      <c r="K36" s="55"/>
    </row>
    <row r="37" spans="1:14" ht="12.75" customHeight="1" outlineLevel="1" x14ac:dyDescent="0.2">
      <c r="B37" s="344" t="s">
        <v>204</v>
      </c>
      <c r="C37" s="189">
        <f>(10^-6)*C31*3.6*100</f>
        <v>0</v>
      </c>
      <c r="D37" s="53">
        <f>IF(D$32&lt;YEAR($L$4),$K$8,IF(D$32=YEAR($L$4),$L$8,IF(D$32=YEAR($M$4),$M$8,IF(D$32=YEAR($N$4),$N$8,$O$8))))</f>
        <v>222.29</v>
      </c>
      <c r="E37" s="345">
        <f t="shared" si="0"/>
        <v>0</v>
      </c>
      <c r="F37" s="423">
        <f>(10^-6)*F31*3.6*100</f>
        <v>0</v>
      </c>
      <c r="G37" s="53">
        <f>IF(G$32&lt;YEAR($L$4),$K$8,IF(G$32=YEAR($L$4),$L$8,IF(G$32=YEAR($M$4),$M$8,IF(G$32=YEAR($N$4),$N$8,$O$8))))</f>
        <v>255.63</v>
      </c>
      <c r="H37" s="345">
        <f t="shared" si="1"/>
        <v>0</v>
      </c>
      <c r="K37" s="55"/>
      <c r="L37" s="55"/>
      <c r="M37" s="54"/>
      <c r="N37" s="54"/>
    </row>
    <row r="38" spans="1:14" ht="12.75" customHeight="1" outlineLevel="1" x14ac:dyDescent="0.2">
      <c r="B38" s="344" t="s">
        <v>210</v>
      </c>
      <c r="C38" s="189">
        <f>C28*0.02*C30</f>
        <v>0</v>
      </c>
      <c r="D38" s="53">
        <f>IF(D$32&lt;YEAR($L$4),$K$9,IF(D$32=YEAR($L$4),$L$9,IF(D$32=YEAR($M$4),$M$9,IF(D$32=YEAR($N$4),$N$9,$O$9))))</f>
        <v>193.61</v>
      </c>
      <c r="E38" s="345">
        <f t="shared" si="0"/>
        <v>0</v>
      </c>
      <c r="F38" s="423">
        <f>F28*0.02*F30</f>
        <v>0</v>
      </c>
      <c r="G38" s="53">
        <f>IF(G$32&lt;YEAR($L$4),$K$9,IF(G$32=YEAR($L$4),$L$9,IF(G$32=YEAR($M$4),$M$9,IF(G$32=YEAR($N$4),$N$9,$O$9))))</f>
        <v>212.97</v>
      </c>
      <c r="H38" s="345">
        <f t="shared" si="1"/>
        <v>0</v>
      </c>
      <c r="K38" s="55"/>
      <c r="L38" s="54"/>
      <c r="M38" s="54"/>
      <c r="N38" s="54"/>
    </row>
    <row r="39" spans="1:14" ht="12.75" customHeight="1" outlineLevel="1" x14ac:dyDescent="0.2">
      <c r="B39" s="344" t="s">
        <v>206</v>
      </c>
      <c r="C39" s="60">
        <f>(10^-6)*C31*3.6*((0.04+0.11+50+16+290+24+3.5+8+5)*(10^-3))</f>
        <v>0</v>
      </c>
      <c r="D39" s="53">
        <f>IF(D$32&lt;YEAR($L$4),$K$10,IF(D$32=YEAR($L$4),$L$10,IF(D$32=YEAR($M$4),$M$10,IF(D$32=YEAR($N$4),$N$10,$O$10))))</f>
        <v>1701.02</v>
      </c>
      <c r="E39" s="345">
        <f t="shared" si="0"/>
        <v>0</v>
      </c>
      <c r="F39" s="351">
        <f>(10^-6)*F31*3.6*((0.04+0.11+50+16+290+24+3.5+8+5)*(10^-3))</f>
        <v>0</v>
      </c>
      <c r="G39" s="53">
        <f>IF(G$32&lt;YEAR($L$4),$K$10,IF(G$32=YEAR($L$4),$L$10,IF(G$32=YEAR($M$4),$M$10,IF(G$32=YEAR($N$4),$N$10,$O$10))))</f>
        <v>1871.12</v>
      </c>
      <c r="H39" s="345">
        <f t="shared" si="1"/>
        <v>0</v>
      </c>
      <c r="K39" s="55"/>
      <c r="L39" s="54"/>
      <c r="M39" s="54"/>
      <c r="N39" s="54"/>
    </row>
    <row r="40" spans="1:14" ht="12.75" customHeight="1" outlineLevel="1" x14ac:dyDescent="0.2">
      <c r="B40" s="344" t="s">
        <v>26</v>
      </c>
      <c r="C40" s="189">
        <f>(10^-3)*C31*3.6*21.1*1*3.664</f>
        <v>0</v>
      </c>
      <c r="D40" s="53">
        <f>IF(D$32&lt;YEAR($L$4),$K$11,IF(D$32=YEAR($L$4),$L$11,IF(D$32=YEAR($M$4),$M$11,IF(D$32=YEAR($N$4),$N$11,$O$11))))</f>
        <v>25</v>
      </c>
      <c r="E40" s="345">
        <f t="shared" si="0"/>
        <v>0</v>
      </c>
      <c r="F40" s="423">
        <f>(10^-3)*F31*3.6*21.1*1*3.664</f>
        <v>0</v>
      </c>
      <c r="G40" s="53">
        <f>IF(G$32&lt;YEAR($L$4),$K$11,IF(G$32=YEAR($L$4),$L$11,IF(G$32=YEAR($M$4),$M$11,IF(G$32=YEAR($N$4),$N$11,$O$11))))</f>
        <v>25</v>
      </c>
      <c r="H40" s="345">
        <f t="shared" si="1"/>
        <v>0</v>
      </c>
      <c r="K40" s="55"/>
      <c r="L40" s="54"/>
      <c r="M40" s="54"/>
      <c r="N40" s="54"/>
    </row>
    <row r="41" spans="1:14" ht="12.75" customHeight="1" outlineLevel="1" thickBot="1" x14ac:dyDescent="0.25">
      <c r="B41" s="346" t="s">
        <v>21</v>
      </c>
      <c r="C41" s="347">
        <f>SUM(C34:C40)</f>
        <v>0</v>
      </c>
      <c r="D41" s="348"/>
      <c r="E41" s="349">
        <f>SUM(E34:E40)</f>
        <v>0</v>
      </c>
      <c r="F41" s="359">
        <f>SUM(F34:F40)</f>
        <v>0</v>
      </c>
      <c r="G41" s="348"/>
      <c r="H41" s="349">
        <f>SUM(H34:H40)</f>
        <v>0</v>
      </c>
      <c r="K41" s="55"/>
      <c r="L41" s="54"/>
      <c r="M41" s="54"/>
      <c r="N41" s="54"/>
    </row>
    <row r="42" spans="1:14" ht="12.75" customHeight="1" x14ac:dyDescent="0.2">
      <c r="J42" s="54"/>
      <c r="K42" s="54"/>
      <c r="L42" s="54"/>
    </row>
    <row r="43" spans="1:14" ht="12.75" customHeight="1" thickBot="1" x14ac:dyDescent="0.25">
      <c r="A43" s="14" t="s">
        <v>678</v>
      </c>
      <c r="J43" s="55"/>
      <c r="K43" s="54"/>
      <c r="L43" s="54"/>
    </row>
    <row r="44" spans="1:14" ht="12.75" customHeight="1" outlineLevel="1" x14ac:dyDescent="0.2">
      <c r="A44" s="14"/>
      <c r="B44" s="354"/>
      <c r="C44" s="355" t="str">
        <f>C14</f>
        <v>2026</v>
      </c>
      <c r="D44" s="667" t="s">
        <v>349</v>
      </c>
      <c r="E44" s="668"/>
      <c r="F44" s="361" t="str">
        <f>F14</f>
        <v>2027</v>
      </c>
      <c r="G44" s="667" t="s">
        <v>349</v>
      </c>
      <c r="H44" s="668"/>
      <c r="J44" s="55"/>
      <c r="K44" s="54"/>
      <c r="L44" s="54"/>
    </row>
    <row r="45" spans="1:14" ht="12.75" customHeight="1" outlineLevel="1" x14ac:dyDescent="0.2">
      <c r="B45" s="344" t="s">
        <v>679</v>
      </c>
      <c r="C45" s="188"/>
      <c r="D45" s="669"/>
      <c r="E45" s="670"/>
      <c r="F45" s="362"/>
      <c r="G45" s="669"/>
      <c r="H45" s="670"/>
    </row>
    <row r="46" spans="1:14" ht="12.75" customHeight="1" outlineLevel="1" x14ac:dyDescent="0.2">
      <c r="B46" s="344" t="s">
        <v>667</v>
      </c>
      <c r="C46" s="58">
        <v>0.8</v>
      </c>
      <c r="D46" s="669"/>
      <c r="E46" s="670"/>
      <c r="F46" s="363">
        <v>0.8</v>
      </c>
      <c r="G46" s="669"/>
      <c r="H46" s="670"/>
      <c r="M46" s="54"/>
    </row>
    <row r="47" spans="1:14" ht="12.75" customHeight="1" outlineLevel="1" x14ac:dyDescent="0.2">
      <c r="B47" s="344" t="s">
        <v>24</v>
      </c>
      <c r="C47" s="62">
        <f>C45*C46</f>
        <v>0</v>
      </c>
      <c r="D47" s="671"/>
      <c r="E47" s="672"/>
      <c r="F47" s="430">
        <f>F45*F46</f>
        <v>0</v>
      </c>
      <c r="G47" s="671"/>
      <c r="H47" s="672"/>
      <c r="M47" s="54"/>
    </row>
    <row r="48" spans="1:14" ht="12.75" customHeight="1" outlineLevel="1" x14ac:dyDescent="0.2">
      <c r="B48" s="684" t="s">
        <v>20</v>
      </c>
      <c r="C48" s="681" t="s">
        <v>42</v>
      </c>
      <c r="D48" s="366">
        <f>D18</f>
        <v>2026</v>
      </c>
      <c r="E48" s="676" t="s">
        <v>631</v>
      </c>
      <c r="F48" s="673" t="s">
        <v>42</v>
      </c>
      <c r="G48" s="366">
        <f>G18</f>
        <v>2027</v>
      </c>
      <c r="H48" s="676" t="s">
        <v>631</v>
      </c>
      <c r="M48" s="54"/>
    </row>
    <row r="49" spans="1:8" ht="29.25" customHeight="1" outlineLevel="1" x14ac:dyDescent="0.2">
      <c r="B49" s="685"/>
      <c r="C49" s="682"/>
      <c r="D49" s="360" t="s">
        <v>630</v>
      </c>
      <c r="E49" s="677"/>
      <c r="F49" s="674"/>
      <c r="G49" s="360" t="s">
        <v>630</v>
      </c>
      <c r="H49" s="677"/>
    </row>
    <row r="50" spans="1:8" ht="12.75" customHeight="1" outlineLevel="1" x14ac:dyDescent="0.2">
      <c r="B50" s="344" t="s">
        <v>25</v>
      </c>
      <c r="C50" s="60">
        <f>(10^-6)*C47*3.6*100</f>
        <v>0</v>
      </c>
      <c r="D50" s="53">
        <f>IF(D$48&lt;YEAR($L$4),$K$5,IF(D$48=YEAR($L$4),$L$5,IF(D$48=YEAR($M$4),$M$5,IF(D$48=YEAR($N$4),$N$5,$O$5))))</f>
        <v>186.03</v>
      </c>
      <c r="E50" s="345">
        <f t="shared" ref="E50:E55" si="2">ROUND(C50*D50/1000,2)</f>
        <v>0</v>
      </c>
      <c r="F50" s="352">
        <f>(10^-6)*F47*3.6*100</f>
        <v>0</v>
      </c>
      <c r="G50" s="53">
        <f>IF(G$48&lt;YEAR($L$4),$K$5,IF(G$48=YEAR($L$4),$L$5,IF(G$48=YEAR($M$4),$M$5,IF(G$48=YEAR($N$4),$N$5,$O$5))))</f>
        <v>213.94</v>
      </c>
      <c r="H50" s="345">
        <f t="shared" ref="H50:H55" si="3">ROUND(F50*G50/1000,2)</f>
        <v>0</v>
      </c>
    </row>
    <row r="51" spans="1:8" ht="12.75" customHeight="1" outlineLevel="1" x14ac:dyDescent="0.2">
      <c r="B51" s="344" t="s">
        <v>23</v>
      </c>
      <c r="C51" s="60">
        <f>(10^-6)*C47*3.6*1000</f>
        <v>0</v>
      </c>
      <c r="D51" s="53">
        <f>IF(D$48&lt;YEAR($L$4),$K$6,IF(D$48=YEAR($L$4),$L$6,IF(D$48=YEAR($M$4),$M$6,IF(D$48=YEAR($N$4),$N$6,$O$6))))</f>
        <v>10.25</v>
      </c>
      <c r="E51" s="345">
        <f t="shared" si="2"/>
        <v>0</v>
      </c>
      <c r="F51" s="352">
        <f>(10^-6)*F47*3.6*1000</f>
        <v>0</v>
      </c>
      <c r="G51" s="53">
        <f>IF(G$48&lt;YEAR($L$4),$K$6,IF(G$48=YEAR($L$4),$L$6,IF(G$48=YEAR($M$4),$M$6,IF(G$48=YEAR($N$4),$N$6,$O$6))))</f>
        <v>11.27</v>
      </c>
      <c r="H51" s="345">
        <f t="shared" si="3"/>
        <v>0</v>
      </c>
    </row>
    <row r="52" spans="1:8" ht="12.75" customHeight="1" outlineLevel="1" x14ac:dyDescent="0.2">
      <c r="B52" s="344" t="s">
        <v>205</v>
      </c>
      <c r="C52" s="60">
        <f>(10^-6)*C47*3.6*48</f>
        <v>0</v>
      </c>
      <c r="D52" s="53">
        <f>IF(D$48&lt;YEAR($L$4),$K$7,IF(D$48=YEAR($L$4),$L$7,IF(D$48=YEAR($M$4),$M$7,IF(D$48=YEAR($N$4),$N$7,$O$7))))</f>
        <v>186.03</v>
      </c>
      <c r="E52" s="345">
        <f t="shared" si="2"/>
        <v>0</v>
      </c>
      <c r="F52" s="352">
        <f>(10^-6)*F47*3.6*48</f>
        <v>0</v>
      </c>
      <c r="G52" s="53">
        <f>IF(G$48&lt;YEAR($L$4),$K$7,IF(G$48=YEAR($L$4),$L$7,IF(G$48=YEAR($M$4),$M$7,IF(G$48=YEAR($N$4),$N$7,$O$7))))</f>
        <v>213.94</v>
      </c>
      <c r="H52" s="345">
        <f t="shared" si="3"/>
        <v>0</v>
      </c>
    </row>
    <row r="53" spans="1:8" ht="12.75" customHeight="1" outlineLevel="1" x14ac:dyDescent="0.2">
      <c r="B53" s="344" t="s">
        <v>204</v>
      </c>
      <c r="C53" s="60">
        <f>(10^-6)*C47*3.6*240</f>
        <v>0</v>
      </c>
      <c r="D53" s="53">
        <f>IF(D$48&lt;YEAR($L$4),$K$8,IF(D$48=YEAR($L$4),$L$8,IF(D$48=YEAR($M$4),$M$8,IF(D$48=YEAR($N$4),$N$8,$O$8))))</f>
        <v>222.29</v>
      </c>
      <c r="E53" s="345">
        <f t="shared" si="2"/>
        <v>0</v>
      </c>
      <c r="F53" s="352">
        <f>(10^-6)*F47*3.6*240</f>
        <v>0</v>
      </c>
      <c r="G53" s="53">
        <f>IF(G$48&lt;YEAR($L$4),$K$8,IF(G$48=YEAR($L$4),$L$8,IF(G$48=YEAR($M$4),$M$8,IF(G$48=YEAR($N$4),$N$8,$O$8))))</f>
        <v>255.63</v>
      </c>
      <c r="H53" s="345">
        <f t="shared" si="3"/>
        <v>0</v>
      </c>
    </row>
    <row r="54" spans="1:8" ht="12.75" customHeight="1" outlineLevel="1" x14ac:dyDescent="0.2">
      <c r="B54" s="344" t="s">
        <v>210</v>
      </c>
      <c r="C54" s="60">
        <f>(10^-6)*C47*3.6*10</f>
        <v>0</v>
      </c>
      <c r="D54" s="53">
        <f>IF(D$48&lt;YEAR($L$4),$K$9,IF(D$48=YEAR($L$4),$L$9,IF(D$48=YEAR($M$4),$M$9,IF(D$48=YEAR($N$4),$N$9,$O$9))))</f>
        <v>193.61</v>
      </c>
      <c r="E54" s="345">
        <f t="shared" si="2"/>
        <v>0</v>
      </c>
      <c r="F54" s="352">
        <f>(10^-6)*F47*3.6*10</f>
        <v>0</v>
      </c>
      <c r="G54" s="53">
        <f>IF(G$48&lt;YEAR($L$4),$K$9,IF(G$48=YEAR($L$4),$L$9,IF(G$48=YEAR($M$4),$M$9,IF(G$48=YEAR($N$4),$N$9,$O$9))))</f>
        <v>212.97</v>
      </c>
      <c r="H54" s="345">
        <f t="shared" si="3"/>
        <v>0</v>
      </c>
    </row>
    <row r="55" spans="1:8" ht="12.75" customHeight="1" outlineLevel="1" x14ac:dyDescent="0.2">
      <c r="B55" s="344" t="s">
        <v>206</v>
      </c>
      <c r="C55" s="60">
        <f>(10^-6)*C47*3.6*((0.5+2+60+0.3+10+10+30)*(10^-3))</f>
        <v>0</v>
      </c>
      <c r="D55" s="53">
        <f>IF(D$48&lt;YEAR($L$4),$K$10,IF(D$48=YEAR($L$4),$L$10,IF(D$48=YEAR($M$4),$M$10,IF(D$48=YEAR($N$4),$N$10,$O$10))))</f>
        <v>1701.02</v>
      </c>
      <c r="E55" s="345">
        <f t="shared" si="2"/>
        <v>0</v>
      </c>
      <c r="F55" s="352">
        <f>(10^-6)*F47*3.6*((0.5+2+60+0.3+10+10+30)*(10^-3))</f>
        <v>0</v>
      </c>
      <c r="G55" s="53">
        <f>IF(G$48&lt;YEAR($L$4),$K$10,IF(G$48=YEAR($L$4),$L$10,IF(G$48=YEAR($M$4),$M$10,IF(G$48=YEAR($N$4),$N$10,$O$10))))</f>
        <v>1871.12</v>
      </c>
      <c r="H55" s="345">
        <f t="shared" si="3"/>
        <v>0</v>
      </c>
    </row>
    <row r="56" spans="1:8" ht="12.75" customHeight="1" outlineLevel="1" thickBot="1" x14ac:dyDescent="0.25">
      <c r="B56" s="346" t="s">
        <v>21</v>
      </c>
      <c r="C56" s="347">
        <f>SUM(C50:C55)</f>
        <v>0</v>
      </c>
      <c r="D56" s="348"/>
      <c r="E56" s="349">
        <f>SUM(E50:E55)</f>
        <v>0</v>
      </c>
      <c r="F56" s="350">
        <f>SUM(F50:F55)</f>
        <v>0</v>
      </c>
      <c r="G56" s="348"/>
      <c r="H56" s="349">
        <f>SUM(H50:H55)</f>
        <v>0</v>
      </c>
    </row>
    <row r="57" spans="1:8" ht="12.75" customHeight="1" x14ac:dyDescent="0.2">
      <c r="B57" s="54"/>
      <c r="C57" s="56"/>
      <c r="D57" s="54"/>
      <c r="E57" s="54"/>
      <c r="F57" s="54"/>
    </row>
    <row r="58" spans="1:8" ht="12.75" customHeight="1" thickBot="1" x14ac:dyDescent="0.25">
      <c r="A58" s="14" t="s">
        <v>270</v>
      </c>
    </row>
    <row r="59" spans="1:8" ht="12.75" customHeight="1" outlineLevel="1" x14ac:dyDescent="0.2">
      <c r="A59" s="14"/>
      <c r="B59" s="354"/>
      <c r="C59" s="355" t="str">
        <f>C14</f>
        <v>2026</v>
      </c>
      <c r="D59" s="667" t="s">
        <v>349</v>
      </c>
      <c r="E59" s="668"/>
      <c r="F59" s="356" t="str">
        <f>F14</f>
        <v>2027</v>
      </c>
      <c r="G59" s="667" t="s">
        <v>349</v>
      </c>
      <c r="H59" s="668"/>
    </row>
    <row r="60" spans="1:8" ht="12.75" customHeight="1" outlineLevel="1" x14ac:dyDescent="0.2">
      <c r="B60" s="344" t="s">
        <v>271</v>
      </c>
      <c r="C60" s="188"/>
      <c r="D60" s="669"/>
      <c r="E60" s="670"/>
      <c r="F60" s="357"/>
      <c r="G60" s="669"/>
      <c r="H60" s="670"/>
    </row>
    <row r="61" spans="1:8" ht="12.75" customHeight="1" outlineLevel="1" x14ac:dyDescent="0.2">
      <c r="B61" s="344" t="s">
        <v>666</v>
      </c>
      <c r="C61" s="58"/>
      <c r="D61" s="669"/>
      <c r="E61" s="670"/>
      <c r="F61" s="358"/>
      <c r="G61" s="669"/>
      <c r="H61" s="670"/>
    </row>
    <row r="62" spans="1:8" ht="12.75" customHeight="1" outlineLevel="1" x14ac:dyDescent="0.2">
      <c r="B62" s="344" t="s">
        <v>272</v>
      </c>
      <c r="C62" s="188"/>
      <c r="D62" s="669"/>
      <c r="E62" s="670"/>
      <c r="F62" s="357"/>
      <c r="G62" s="669"/>
      <c r="H62" s="670"/>
    </row>
    <row r="63" spans="1:8" ht="12.75" customHeight="1" outlineLevel="1" x14ac:dyDescent="0.2">
      <c r="B63" s="344" t="s">
        <v>24</v>
      </c>
      <c r="C63" s="62">
        <f>C60*C61</f>
        <v>0</v>
      </c>
      <c r="D63" s="671"/>
      <c r="E63" s="672"/>
      <c r="F63" s="368">
        <f>F60*F61</f>
        <v>0</v>
      </c>
      <c r="G63" s="671"/>
      <c r="H63" s="672"/>
    </row>
    <row r="64" spans="1:8" ht="12.75" customHeight="1" outlineLevel="1" x14ac:dyDescent="0.2">
      <c r="B64" s="678" t="s">
        <v>20</v>
      </c>
      <c r="C64" s="679" t="s">
        <v>42</v>
      </c>
      <c r="D64" s="366">
        <f>D18</f>
        <v>2026</v>
      </c>
      <c r="E64" s="675" t="s">
        <v>631</v>
      </c>
      <c r="F64" s="683" t="s">
        <v>42</v>
      </c>
      <c r="G64" s="366">
        <f>G18</f>
        <v>2027</v>
      </c>
      <c r="H64" s="675" t="s">
        <v>631</v>
      </c>
    </row>
    <row r="65" spans="1:8" ht="24" customHeight="1" outlineLevel="1" x14ac:dyDescent="0.2">
      <c r="B65" s="678"/>
      <c r="C65" s="679"/>
      <c r="D65" s="360" t="s">
        <v>630</v>
      </c>
      <c r="E65" s="675"/>
      <c r="F65" s="683"/>
      <c r="G65" s="360" t="s">
        <v>630</v>
      </c>
      <c r="H65" s="675"/>
    </row>
    <row r="66" spans="1:8" outlineLevel="1" x14ac:dyDescent="0.2">
      <c r="B66" s="344" t="s">
        <v>25</v>
      </c>
      <c r="C66" s="60">
        <f>(10^-6)*C63*3.6*200</f>
        <v>0</v>
      </c>
      <c r="D66" s="53">
        <f>IF(D$64&lt;YEAR($L$4),$K$5,IF(D$64=YEAR($L$4),$L$5,IF(D$64=YEAR($M$4),$M$5,IF(D$64=YEAR($N$4),$N$5,$O$5))))</f>
        <v>186.03</v>
      </c>
      <c r="E66" s="345">
        <f t="shared" ref="E66:E72" si="4">ROUND(C66*D66/1000,2)</f>
        <v>0</v>
      </c>
      <c r="F66" s="351">
        <f>(10^-6)*F63*3.6*200</f>
        <v>0</v>
      </c>
      <c r="G66" s="53">
        <f>IF(G$64&lt;YEAR($L$4),$K$5,IF(G$64=YEAR($L$4),$L$5,IF(G$64=YEAR($M$4),$M$5,IF(G$64=YEAR($N$4),$N$5,$O$5))))</f>
        <v>213.94</v>
      </c>
      <c r="H66" s="345">
        <f t="shared" ref="H66:H72" si="5">ROUND(F66*G66/1000,2)</f>
        <v>0</v>
      </c>
    </row>
    <row r="67" spans="1:8" outlineLevel="1" x14ac:dyDescent="0.2">
      <c r="B67" s="344" t="s">
        <v>23</v>
      </c>
      <c r="C67" s="60">
        <f>(10^-6)*C63*3.6*100</f>
        <v>0</v>
      </c>
      <c r="D67" s="53">
        <f>IF(D$64&lt;YEAR($L$4),$K$6,IF(D$64=YEAR($L$4),$L$6,IF(D$64=YEAR($M$4),$M$6,IF(D$64=YEAR($N$4),$N$6,$O$6))))</f>
        <v>10.25</v>
      </c>
      <c r="E67" s="345">
        <f t="shared" si="4"/>
        <v>0</v>
      </c>
      <c r="F67" s="351">
        <f>(10^-6)*F63*3.6*100</f>
        <v>0</v>
      </c>
      <c r="G67" s="53">
        <f>IF(G$64&lt;YEAR($L$4),$K$6,IF(G$64=YEAR($L$4),$L$6,IF(G$64=YEAR($M$4),$M$6,IF(G$64=YEAR($N$4),$N$6,$O$6))))</f>
        <v>11.27</v>
      </c>
      <c r="H67" s="345">
        <f t="shared" si="5"/>
        <v>0</v>
      </c>
    </row>
    <row r="68" spans="1:8" outlineLevel="1" x14ac:dyDescent="0.2">
      <c r="B68" s="344" t="s">
        <v>205</v>
      </c>
      <c r="C68" s="60">
        <f>(10^-6)*C63*3.6*15</f>
        <v>0</v>
      </c>
      <c r="D68" s="53">
        <f>IF(D$64&lt;YEAR($L$4),$K$7,IF(D$64=YEAR($L$4),$L$7,IF(D$64=YEAR($M$4),$M$7,IF(D$64=YEAR($N$4),$N$7,$O$7))))</f>
        <v>186.03</v>
      </c>
      <c r="E68" s="345">
        <f t="shared" si="4"/>
        <v>0</v>
      </c>
      <c r="F68" s="351">
        <f>(10^-6)*F63*3.6*15</f>
        <v>0</v>
      </c>
      <c r="G68" s="53">
        <f>IF(G$64&lt;YEAR($L$4),$K$7,IF(G$64=YEAR($L$4),$L$7,IF(G$64=YEAR($M$4),$M$7,IF(G$64=YEAR($N$4),$N$7,$O$7))))</f>
        <v>213.94</v>
      </c>
      <c r="H68" s="345">
        <f t="shared" si="5"/>
        <v>0</v>
      </c>
    </row>
    <row r="69" spans="1:8" outlineLevel="1" x14ac:dyDescent="0.2">
      <c r="B69" s="344" t="s">
        <v>204</v>
      </c>
      <c r="C69" s="60">
        <f>(10^-6)*C63*3.6*3000</f>
        <v>0</v>
      </c>
      <c r="D69" s="53">
        <f>IF(D$64&lt;YEAR($L$4),$K$8,IF(D$64=YEAR($L$4),$L$8,IF(D$64=YEAR($M$4),$M$8,IF(D$64=YEAR($N$4),$N$8,$O$8))))</f>
        <v>222.29</v>
      </c>
      <c r="E69" s="345">
        <f t="shared" si="4"/>
        <v>0</v>
      </c>
      <c r="F69" s="351">
        <f>(10^-6)*F63*3.6*3000</f>
        <v>0</v>
      </c>
      <c r="G69" s="53">
        <f>IF(G$64&lt;YEAR($L$4),$K$8,IF(G$64=YEAR($L$4),$L$8,IF(G$64=YEAR($M$4),$M$8,IF(G$64=YEAR($N$4),$N$8,$O$8))))</f>
        <v>255.63</v>
      </c>
      <c r="H69" s="345">
        <f t="shared" si="5"/>
        <v>0</v>
      </c>
    </row>
    <row r="70" spans="1:8" outlineLevel="1" x14ac:dyDescent="0.2">
      <c r="B70" s="344" t="s">
        <v>210</v>
      </c>
      <c r="C70" s="60">
        <f>C60*C62*0.02</f>
        <v>0</v>
      </c>
      <c r="D70" s="53">
        <f>IF(D$64&lt;YEAR($L$4),$K$9,IF(D$64=YEAR($L$4),$L$9,IF(D$64=YEAR($M$4),$M$9,IF(D$64=YEAR($N$4),$N$9,$O$9))))</f>
        <v>193.61</v>
      </c>
      <c r="E70" s="345">
        <f t="shared" si="4"/>
        <v>0</v>
      </c>
      <c r="F70" s="351">
        <f>F60*F62*0.02</f>
        <v>0</v>
      </c>
      <c r="G70" s="53">
        <f>IF(G$64&lt;YEAR($L$4),$K$9,IF(G$64=YEAR($L$4),$L$9,IF(G$64=YEAR($M$4),$M$9,IF(G$64=YEAR($N$4),$N$9,$O$9))))</f>
        <v>212.97</v>
      </c>
      <c r="H70" s="345">
        <f t="shared" si="5"/>
        <v>0</v>
      </c>
    </row>
    <row r="71" spans="1:8" outlineLevel="1" x14ac:dyDescent="0.2">
      <c r="B71" s="344" t="s">
        <v>206</v>
      </c>
      <c r="C71" s="60">
        <f>(10^-6)*C63*3.6*((5+10+200+20+80+80+300)*(10^-3))</f>
        <v>0</v>
      </c>
      <c r="D71" s="53">
        <f>IF(D$64&lt;YEAR($L$4),$K$10,IF(D$64=YEAR($L$4),$L$10,IF(D$64=YEAR($M$4),$M$10,IF(D$64=YEAR($N$4),$N$10,$O$10))))</f>
        <v>1701.02</v>
      </c>
      <c r="E71" s="345">
        <f t="shared" si="4"/>
        <v>0</v>
      </c>
      <c r="F71" s="351">
        <f>(10^-6)*F63*3.6*((5+10+200+20+80+80+300)*(10^-3))</f>
        <v>0</v>
      </c>
      <c r="G71" s="53">
        <f>IF(G$64&lt;YEAR($L$4),$K$10,IF(G$64=YEAR($L$4),$L$10,IF(G$64=YEAR($M$4),$M$10,IF(G$64=YEAR($N$4),$N$10,$O$10))))</f>
        <v>1871.12</v>
      </c>
      <c r="H71" s="345">
        <f t="shared" si="5"/>
        <v>0</v>
      </c>
    </row>
    <row r="72" spans="1:8" outlineLevel="1" x14ac:dyDescent="0.2">
      <c r="B72" s="344" t="s">
        <v>26</v>
      </c>
      <c r="C72" s="189">
        <f>(10^-3)*C63*3.6*25.8*1*3.664</f>
        <v>0</v>
      </c>
      <c r="D72" s="53">
        <f>IF(D$64&lt;YEAR($L$4),$K$11,IF(D$64=YEAR($L$4),$L$11,IF(D$64=YEAR($M$4),$M$11,IF(D$64=YEAR($N$4),$N$11,$O$11))))</f>
        <v>25</v>
      </c>
      <c r="E72" s="365">
        <f t="shared" si="4"/>
        <v>0</v>
      </c>
      <c r="F72" s="423">
        <f>(10^-3)*F63*3.6*25.8*1*3.664</f>
        <v>0</v>
      </c>
      <c r="G72" s="53">
        <f>IF(G$64&lt;YEAR($L$4),$K$11,IF(G$64=YEAR($L$4),$L$11,IF(G$64=YEAR($M$4),$M$11,IF(G$64=YEAR($N$4),$N$11,$O$11))))</f>
        <v>25</v>
      </c>
      <c r="H72" s="365">
        <f t="shared" si="5"/>
        <v>0</v>
      </c>
    </row>
    <row r="73" spans="1:8" ht="13.5" outlineLevel="1" thickBot="1" x14ac:dyDescent="0.25">
      <c r="B73" s="346" t="s">
        <v>21</v>
      </c>
      <c r="C73" s="347">
        <f>SUM(C66:C72)</f>
        <v>0</v>
      </c>
      <c r="D73" s="348"/>
      <c r="E73" s="349">
        <f>SUM(E66:E72)</f>
        <v>0</v>
      </c>
      <c r="F73" s="359">
        <f>SUM(F66:F72)</f>
        <v>0</v>
      </c>
      <c r="G73" s="348"/>
      <c r="H73" s="349">
        <f>SUM(H66:H72)</f>
        <v>0</v>
      </c>
    </row>
    <row r="74" spans="1:8" x14ac:dyDescent="0.2">
      <c r="B74" s="54"/>
      <c r="C74" s="55"/>
      <c r="D74" s="57"/>
      <c r="E74" s="57"/>
      <c r="F74" s="56"/>
    </row>
    <row r="75" spans="1:8" ht="13.5" thickBot="1" x14ac:dyDescent="0.25">
      <c r="A75" s="14" t="s">
        <v>617</v>
      </c>
    </row>
    <row r="76" spans="1:8" ht="12.75" customHeight="1" outlineLevel="1" x14ac:dyDescent="0.2">
      <c r="A76" s="14"/>
      <c r="B76" s="354"/>
      <c r="C76" s="355" t="str">
        <f>C14</f>
        <v>2026</v>
      </c>
      <c r="D76" s="667" t="s">
        <v>349</v>
      </c>
      <c r="E76" s="668"/>
      <c r="F76" s="356" t="str">
        <f>F14</f>
        <v>2027</v>
      </c>
      <c r="G76" s="667" t="s">
        <v>349</v>
      </c>
      <c r="H76" s="668"/>
    </row>
    <row r="77" spans="1:8" ht="12.75" customHeight="1" outlineLevel="1" x14ac:dyDescent="0.2">
      <c r="B77" s="344" t="s">
        <v>359</v>
      </c>
      <c r="C77" s="188"/>
      <c r="D77" s="669"/>
      <c r="E77" s="670"/>
      <c r="F77" s="357"/>
      <c r="G77" s="669"/>
      <c r="H77" s="670"/>
    </row>
    <row r="78" spans="1:8" ht="12.75" customHeight="1" outlineLevel="1" x14ac:dyDescent="0.2">
      <c r="B78" s="344" t="s">
        <v>668</v>
      </c>
      <c r="C78" s="58"/>
      <c r="D78" s="669"/>
      <c r="E78" s="670"/>
      <c r="F78" s="358"/>
      <c r="G78" s="669"/>
      <c r="H78" s="670"/>
    </row>
    <row r="79" spans="1:8" outlineLevel="1" x14ac:dyDescent="0.2">
      <c r="B79" s="344" t="s">
        <v>24</v>
      </c>
      <c r="C79" s="62">
        <f>C77*C78</f>
        <v>0</v>
      </c>
      <c r="D79" s="671"/>
      <c r="E79" s="672"/>
      <c r="F79" s="368">
        <f>F77*F78</f>
        <v>0</v>
      </c>
      <c r="G79" s="671"/>
      <c r="H79" s="672"/>
    </row>
    <row r="80" spans="1:8" ht="12.75" customHeight="1" outlineLevel="1" x14ac:dyDescent="0.2">
      <c r="B80" s="678" t="s">
        <v>20</v>
      </c>
      <c r="C80" s="679" t="s">
        <v>42</v>
      </c>
      <c r="D80" s="366">
        <f>D18</f>
        <v>2026</v>
      </c>
      <c r="E80" s="675" t="s">
        <v>631</v>
      </c>
      <c r="F80" s="683" t="s">
        <v>42</v>
      </c>
      <c r="G80" s="366">
        <f>G18</f>
        <v>2027</v>
      </c>
      <c r="H80" s="675" t="s">
        <v>631</v>
      </c>
    </row>
    <row r="81" spans="1:9" ht="25.5" outlineLevel="1" x14ac:dyDescent="0.2">
      <c r="B81" s="678"/>
      <c r="C81" s="679"/>
      <c r="D81" s="360" t="s">
        <v>630</v>
      </c>
      <c r="E81" s="675"/>
      <c r="F81" s="683"/>
      <c r="G81" s="360" t="s">
        <v>630</v>
      </c>
      <c r="H81" s="675"/>
    </row>
    <row r="82" spans="1:9" outlineLevel="1" x14ac:dyDescent="0.2">
      <c r="B82" s="344" t="s">
        <v>25</v>
      </c>
      <c r="C82" s="60">
        <f>(10^-6)*C79*3.6*300</f>
        <v>0</v>
      </c>
      <c r="D82" s="53">
        <f>IF(D$80&lt;YEAR($L$4),$K$5,IF(D$80=YEAR($L$4),$L$5,IF(D$80=YEAR($M$4),$M$5,IF(D$80=YEAR($N$4),$N$5,$O$5))))</f>
        <v>186.03</v>
      </c>
      <c r="E82" s="345">
        <f t="shared" ref="E82:E87" si="6">ROUND(C82*D82/1000,2)</f>
        <v>0</v>
      </c>
      <c r="F82" s="351">
        <f>(10^-6)*F79*3.6*300</f>
        <v>0</v>
      </c>
      <c r="G82" s="53">
        <f>IF(G$80&lt;YEAR($L$4),$K$5,IF(G$80=YEAR($L$4),$L$5,IF(G$80=YEAR($M$4),$M$5,IF(G$80=YEAR($N$4),$N$5,$O$5))))</f>
        <v>213.94</v>
      </c>
      <c r="H82" s="345">
        <f t="shared" ref="H82:H87" si="7">ROUND(F82*G82/1000,2)</f>
        <v>0</v>
      </c>
    </row>
    <row r="83" spans="1:9" outlineLevel="1" x14ac:dyDescent="0.2">
      <c r="B83" s="344" t="s">
        <v>23</v>
      </c>
      <c r="C83" s="60">
        <f>(10^-6)*C79*3.6*500</f>
        <v>0</v>
      </c>
      <c r="D83" s="53">
        <f>IF(D$80&lt;YEAR($L$4),$K$6,IF(D$80=YEAR($L$4),$L$6,IF(D$80=YEAR($M$4),$M$6,IF(D$80=YEAR($N$4),$N$6,$O$6))))</f>
        <v>10.25</v>
      </c>
      <c r="E83" s="345">
        <f t="shared" si="6"/>
        <v>0</v>
      </c>
      <c r="F83" s="351">
        <f>(10^-6)*F79*3.6*500</f>
        <v>0</v>
      </c>
      <c r="G83" s="53">
        <f>IF(G$80&lt;YEAR($L$4),$K$6,IF(G$80=YEAR($L$4),$L$6,IF(G$80=YEAR($M$4),$M$6,IF(G$80=YEAR($N$4),$N$6,$O$6))))</f>
        <v>11.27</v>
      </c>
      <c r="H83" s="345">
        <f t="shared" si="7"/>
        <v>0</v>
      </c>
    </row>
    <row r="84" spans="1:9" outlineLevel="1" x14ac:dyDescent="0.2">
      <c r="B84" s="344" t="s">
        <v>205</v>
      </c>
      <c r="C84" s="60">
        <f>(10^-6)*C79*3.6*100</f>
        <v>0</v>
      </c>
      <c r="D84" s="53">
        <f>IF(D$80&lt;YEAR($L$4),$K$7,IF(D$80=YEAR($L$4),$L$7,IF(D$80=YEAR($M$4),$M$7,IF(D$80=YEAR($N$4),$N$7,$O$7))))</f>
        <v>186.03</v>
      </c>
      <c r="E84" s="345">
        <f t="shared" si="6"/>
        <v>0</v>
      </c>
      <c r="F84" s="351">
        <f>(10^-6)*F79*3.6*100</f>
        <v>0</v>
      </c>
      <c r="G84" s="53">
        <f>IF(G$80&lt;YEAR($L$4),$K$7,IF(G$80=YEAR($L$4),$L$7,IF(G$80=YEAR($M$4),$M$7,IF(G$80=YEAR($N$4),$N$7,$O$7))))</f>
        <v>213.94</v>
      </c>
      <c r="H84" s="345">
        <f t="shared" si="7"/>
        <v>0</v>
      </c>
    </row>
    <row r="85" spans="1:9" outlineLevel="1" x14ac:dyDescent="0.2">
      <c r="B85" s="344" t="s">
        <v>204</v>
      </c>
      <c r="C85" s="60">
        <f>(10^-6)*C79*3.6*230</f>
        <v>0</v>
      </c>
      <c r="D85" s="53">
        <f>IF(D$80&lt;YEAR($L$4),$K$8,IF(D$80=YEAR($L$4),$L$8,IF(D$80=YEAR($M$4),$M$8,IF(D$80=YEAR($N$4),$N$8,$O$8))))</f>
        <v>222.29</v>
      </c>
      <c r="E85" s="345">
        <f t="shared" si="6"/>
        <v>0</v>
      </c>
      <c r="F85" s="351">
        <f>(10^-6)*F79*3.6*230</f>
        <v>0</v>
      </c>
      <c r="G85" s="53">
        <f>IF(G$80&lt;YEAR($L$4),$K$8,IF(G$80=YEAR($L$4),$L$8,IF(G$80=YEAR($M$4),$M$8,IF(G$80=YEAR($N$4),$N$8,$O$8))))</f>
        <v>255.63</v>
      </c>
      <c r="H85" s="345">
        <f t="shared" si="7"/>
        <v>0</v>
      </c>
    </row>
    <row r="86" spans="1:9" outlineLevel="1" x14ac:dyDescent="0.2">
      <c r="B86" s="344" t="s">
        <v>210</v>
      </c>
      <c r="C86" s="60">
        <f>(10^-6)*C79*3.6*200</f>
        <v>0</v>
      </c>
      <c r="D86" s="53">
        <f>IF(D$80&lt;YEAR($L$4),$K$9,IF(D$80=YEAR($L$4),$L$9,IF(D$80=YEAR($M$4),$M$9,IF(D$80=YEAR($N$4),$N$9,$O$9))))</f>
        <v>193.61</v>
      </c>
      <c r="E86" s="345">
        <f t="shared" si="6"/>
        <v>0</v>
      </c>
      <c r="F86" s="351">
        <f>(10^-6)*F79*3.6*200</f>
        <v>0</v>
      </c>
      <c r="G86" s="53">
        <f>IF(G$80&lt;YEAR($L$4),$K$9,IF(G$80=YEAR($L$4),$L$9,IF(G$80=YEAR($M$4),$M$9,IF(G$80=YEAR($N$4),$N$9,$O$9))))</f>
        <v>212.97</v>
      </c>
      <c r="H86" s="345">
        <f t="shared" si="7"/>
        <v>0</v>
      </c>
    </row>
    <row r="87" spans="1:9" outlineLevel="1" x14ac:dyDescent="0.2">
      <c r="B87" s="344" t="s">
        <v>206</v>
      </c>
      <c r="C87" s="60">
        <f>(10^-6)*C79*3.6*((5+4+50+30+20+80+60)*(10^-3))</f>
        <v>0</v>
      </c>
      <c r="D87" s="53">
        <f>IF(D$80&lt;YEAR($L$4),$K$10,IF(D$80=YEAR($L$4),$L$10,IF(D$80=YEAR($M$4),$M$10,IF(D$80=YEAR($N$4),$N$10,$O$10))))</f>
        <v>1701.02</v>
      </c>
      <c r="E87" s="345">
        <f t="shared" si="6"/>
        <v>0</v>
      </c>
      <c r="F87" s="351">
        <f>(10^-6)*F79*3.6*((5+4+50+30+20+80+60)*(10^-3))</f>
        <v>0</v>
      </c>
      <c r="G87" s="53">
        <f>IF(G$80&lt;YEAR($L$4),$K$10,IF(G$80=YEAR($L$4),$L$10,IF(G$80=YEAR($M$4),$M$10,IF(G$80=YEAR($N$4),$N$10,$O$10))))</f>
        <v>1871.12</v>
      </c>
      <c r="H87" s="345">
        <f t="shared" si="7"/>
        <v>0</v>
      </c>
    </row>
    <row r="88" spans="1:9" outlineLevel="1" x14ac:dyDescent="0.2">
      <c r="B88" s="344" t="s">
        <v>26</v>
      </c>
      <c r="C88" s="189">
        <f>(10^-3)*C79*3.6*28.9*1*3.664</f>
        <v>0</v>
      </c>
      <c r="D88" s="53">
        <f>IF(D$80&lt;YEAR($L$4),$K$11,IF(D$80=YEAR($L$4),$L$11,IF(D$80=YEAR($M$4),$M$11,IF(D$80=YEAR($N$4),$N$11,$O$11))))</f>
        <v>25</v>
      </c>
      <c r="E88" s="345">
        <f>ROUND((C88*D88)/1000,2)</f>
        <v>0</v>
      </c>
      <c r="F88" s="423">
        <f>(10^-3)*F79*3.6*28.9*1*3.664</f>
        <v>0</v>
      </c>
      <c r="G88" s="53">
        <f>IF(G$80&lt;YEAR($L$4),$K$11,IF(G$80=YEAR($L$4),$L$11,IF(G$80=YEAR($M$4),$M$11,IF(G$80=YEAR($N$4),$N$11,$O$11))))</f>
        <v>25</v>
      </c>
      <c r="H88" s="345">
        <f>ROUND((F88*G88)/1000,2)</f>
        <v>0</v>
      </c>
    </row>
    <row r="89" spans="1:9" ht="13.5" outlineLevel="1" thickBot="1" x14ac:dyDescent="0.25">
      <c r="B89" s="346" t="s">
        <v>21</v>
      </c>
      <c r="C89" s="347">
        <f>SUM(C82:C88)</f>
        <v>0</v>
      </c>
      <c r="D89" s="348"/>
      <c r="E89" s="349">
        <f>SUM(E82:E88)</f>
        <v>0</v>
      </c>
      <c r="F89" s="359">
        <f>SUM(F82:F88)</f>
        <v>0</v>
      </c>
      <c r="G89" s="348"/>
      <c r="H89" s="349">
        <f>SUM(H82:H88)</f>
        <v>0</v>
      </c>
    </row>
    <row r="90" spans="1:9" x14ac:dyDescent="0.2">
      <c r="B90" s="54"/>
      <c r="C90" s="55"/>
      <c r="D90" s="57"/>
      <c r="E90" s="57"/>
      <c r="F90" s="56"/>
    </row>
    <row r="91" spans="1:9" ht="15.75" customHeight="1" x14ac:dyDescent="0.2">
      <c r="B91" s="13"/>
      <c r="C91" s="688" t="str">
        <f>C14</f>
        <v>2026</v>
      </c>
      <c r="D91" s="688"/>
      <c r="E91" s="688"/>
      <c r="F91" s="686" t="str">
        <f>F14</f>
        <v>2027</v>
      </c>
      <c r="G91" s="686"/>
      <c r="H91" s="686"/>
    </row>
    <row r="92" spans="1:9" s="131" customFormat="1" ht="15.75" x14ac:dyDescent="0.25">
      <c r="A92" s="6"/>
      <c r="B92" s="371" t="s">
        <v>689</v>
      </c>
      <c r="C92" s="687">
        <f>E24+E41+E56+E73+E89</f>
        <v>0</v>
      </c>
      <c r="D92" s="687"/>
      <c r="E92" s="687"/>
      <c r="F92" s="687">
        <f>H24+H41+H56+H73+H89</f>
        <v>0</v>
      </c>
      <c r="G92" s="687"/>
      <c r="H92" s="687"/>
    </row>
    <row r="93" spans="1:9" s="131" customFormat="1" ht="15.75" x14ac:dyDescent="0.25">
      <c r="A93" s="6"/>
      <c r="B93" s="496"/>
      <c r="C93" s="497"/>
      <c r="D93" s="497"/>
      <c r="E93" s="497"/>
      <c r="F93" s="497"/>
      <c r="G93" s="497"/>
      <c r="H93" s="497"/>
    </row>
    <row r="94" spans="1:9" s="15" customFormat="1" ht="15.75" x14ac:dyDescent="0.25">
      <c r="B94" s="496"/>
      <c r="C94" s="497"/>
      <c r="D94" s="497"/>
      <c r="E94" s="497"/>
      <c r="F94" s="497"/>
      <c r="G94" s="497"/>
      <c r="H94" s="497"/>
      <c r="I94" s="131"/>
    </row>
    <row r="95" spans="1:9" ht="15.75" x14ac:dyDescent="0.25">
      <c r="A95" s="220" t="s">
        <v>609</v>
      </c>
      <c r="B95" s="496"/>
      <c r="C95" s="497"/>
      <c r="D95" s="497"/>
      <c r="E95" s="497"/>
      <c r="F95" s="497"/>
      <c r="G95" s="497"/>
      <c r="H95" s="497"/>
      <c r="I95" s="131"/>
    </row>
    <row r="96" spans="1:9" ht="15" x14ac:dyDescent="0.25">
      <c r="A96" s="220" t="s">
        <v>616</v>
      </c>
      <c r="B96" s="54"/>
      <c r="C96" s="55"/>
      <c r="D96" s="57"/>
      <c r="E96" s="57"/>
      <c r="F96" s="56"/>
    </row>
    <row r="97" spans="1:9" ht="15" x14ac:dyDescent="0.25">
      <c r="A97" s="220" t="s">
        <v>626</v>
      </c>
      <c r="B97" s="54"/>
      <c r="C97" s="55"/>
      <c r="D97" s="57"/>
      <c r="E97" s="57"/>
      <c r="F97" s="56"/>
    </row>
    <row r="98" spans="1:9" x14ac:dyDescent="0.2">
      <c r="B98" s="54"/>
      <c r="C98" s="55"/>
      <c r="D98" s="57"/>
      <c r="E98" s="57"/>
      <c r="F98" s="56"/>
    </row>
    <row r="99" spans="1:9" x14ac:dyDescent="0.2">
      <c r="B99" s="54"/>
      <c r="C99" s="55"/>
      <c r="D99" s="57"/>
      <c r="E99" s="57"/>
      <c r="F99" s="56"/>
    </row>
    <row r="100" spans="1:9" x14ac:dyDescent="0.2">
      <c r="B100" s="54"/>
      <c r="C100" s="55"/>
      <c r="D100" s="57"/>
      <c r="E100" s="57"/>
      <c r="F100" s="56"/>
    </row>
    <row r="101" spans="1:9" ht="15" x14ac:dyDescent="0.25">
      <c r="B101" s="15"/>
      <c r="C101" s="224"/>
      <c r="D101" s="225"/>
      <c r="E101" s="226"/>
      <c r="F101" s="225"/>
      <c r="G101" s="15"/>
      <c r="H101" s="15"/>
      <c r="I101" s="15"/>
    </row>
    <row r="102" spans="1:9" ht="15" x14ac:dyDescent="0.25">
      <c r="B102" s="298"/>
      <c r="C102" s="224"/>
      <c r="D102" s="224"/>
      <c r="E102" s="224"/>
      <c r="F102" s="225"/>
      <c r="G102" s="15"/>
      <c r="H102" s="15"/>
      <c r="I102" s="15"/>
    </row>
    <row r="103" spans="1:9" ht="15" x14ac:dyDescent="0.25">
      <c r="B103" s="15"/>
      <c r="C103" s="15"/>
      <c r="D103" s="15"/>
      <c r="E103" s="15"/>
      <c r="F103" s="15"/>
      <c r="G103" s="15"/>
      <c r="H103" s="15"/>
      <c r="I103" s="15"/>
    </row>
  </sheetData>
  <mergeCells count="42">
    <mergeCell ref="F91:H91"/>
    <mergeCell ref="F92:H92"/>
    <mergeCell ref="H80:H81"/>
    <mergeCell ref="B80:B81"/>
    <mergeCell ref="C80:C81"/>
    <mergeCell ref="E80:E81"/>
    <mergeCell ref="F80:F81"/>
    <mergeCell ref="C91:E91"/>
    <mergeCell ref="C92:E92"/>
    <mergeCell ref="B48:B49"/>
    <mergeCell ref="D44:E47"/>
    <mergeCell ref="E48:E49"/>
    <mergeCell ref="B64:B65"/>
    <mergeCell ref="C64:C65"/>
    <mergeCell ref="E64:E65"/>
    <mergeCell ref="G59:H63"/>
    <mergeCell ref="H48:H49"/>
    <mergeCell ref="H64:H65"/>
    <mergeCell ref="D76:E79"/>
    <mergeCell ref="B18:B19"/>
    <mergeCell ref="C18:C19"/>
    <mergeCell ref="E18:E19"/>
    <mergeCell ref="F18:F19"/>
    <mergeCell ref="D59:E63"/>
    <mergeCell ref="B32:B33"/>
    <mergeCell ref="C48:C49"/>
    <mergeCell ref="F32:F33"/>
    <mergeCell ref="C32:C33"/>
    <mergeCell ref="E32:E33"/>
    <mergeCell ref="F64:F65"/>
    <mergeCell ref="G76:H79"/>
    <mergeCell ref="K3:O3"/>
    <mergeCell ref="J12:O14"/>
    <mergeCell ref="J3:J4"/>
    <mergeCell ref="D14:E17"/>
    <mergeCell ref="F48:F49"/>
    <mergeCell ref="H18:H19"/>
    <mergeCell ref="G44:H47"/>
    <mergeCell ref="G14:H17"/>
    <mergeCell ref="D27:E31"/>
    <mergeCell ref="G27:H31"/>
    <mergeCell ref="H32:H33"/>
  </mergeCells>
  <pageMargins left="0" right="0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8"/>
  <sheetViews>
    <sheetView workbookViewId="0">
      <selection activeCell="M45" sqref="M45"/>
    </sheetView>
  </sheetViews>
  <sheetFormatPr defaultColWidth="9" defaultRowHeight="12.75" outlineLevelRow="2" x14ac:dyDescent="0.2"/>
  <cols>
    <col min="1" max="1" width="5.75" style="9" customWidth="1"/>
    <col min="2" max="2" width="38.5" style="6" customWidth="1"/>
    <col min="3" max="3" width="9" style="9"/>
    <col min="4" max="4" width="11.375" style="6" customWidth="1"/>
    <col min="5" max="5" width="11.625" style="6" customWidth="1"/>
    <col min="6" max="6" width="11.875" style="6" customWidth="1"/>
    <col min="7" max="7" width="10.875" style="6" customWidth="1"/>
    <col min="8" max="9" width="11.25" style="6" customWidth="1"/>
    <col min="10" max="16384" width="9" style="6"/>
  </cols>
  <sheetData>
    <row r="1" spans="1:14" ht="18.75" x14ac:dyDescent="0.3">
      <c r="A1" s="689" t="s">
        <v>425</v>
      </c>
      <c r="B1" s="689"/>
      <c r="C1" s="689"/>
      <c r="D1" s="689"/>
    </row>
    <row r="2" spans="1:14" x14ac:dyDescent="0.2">
      <c r="A2" s="690"/>
      <c r="B2" s="691"/>
      <c r="C2" s="691"/>
      <c r="D2" s="691"/>
    </row>
    <row r="3" spans="1:14" ht="27.95" customHeight="1" x14ac:dyDescent="0.2">
      <c r="A3" s="17" t="s">
        <v>177</v>
      </c>
      <c r="B3" s="3" t="s">
        <v>22</v>
      </c>
      <c r="C3" s="10" t="s">
        <v>0</v>
      </c>
      <c r="D3" s="11" t="s">
        <v>345</v>
      </c>
      <c r="E3" s="11" t="s">
        <v>346</v>
      </c>
      <c r="F3" s="11" t="s">
        <v>347</v>
      </c>
      <c r="G3" s="11" t="s">
        <v>329</v>
      </c>
      <c r="H3" s="11" t="s">
        <v>348</v>
      </c>
      <c r="I3" s="514"/>
    </row>
    <row r="4" spans="1:14" ht="12.75" customHeight="1" x14ac:dyDescent="0.2">
      <c r="A4" s="12"/>
      <c r="B4" s="42" t="s">
        <v>331</v>
      </c>
      <c r="C4" s="12" t="s">
        <v>46</v>
      </c>
      <c r="D4" s="132" t="str">
        <f>'B. Algandmed'!$D$6</f>
        <v>2023</v>
      </c>
      <c r="E4" s="132" t="str">
        <f>'B. Algandmed'!$E$6</f>
        <v>2024</v>
      </c>
      <c r="F4" s="132" t="str">
        <f>'B. Algandmed'!$F$6</f>
        <v>2025</v>
      </c>
      <c r="G4" s="132" t="str">
        <f>'B. Algandmed'!$G$6</f>
        <v>2026</v>
      </c>
      <c r="H4" s="132" t="str">
        <f>'B. Algandmed'!H6</f>
        <v>2027</v>
      </c>
      <c r="I4" s="515"/>
    </row>
    <row r="5" spans="1:14" ht="12.75" customHeight="1" x14ac:dyDescent="0.2">
      <c r="A5" s="692"/>
      <c r="B5" s="692"/>
      <c r="C5" s="692"/>
      <c r="D5" s="692"/>
      <c r="E5" s="692"/>
      <c r="F5" s="692"/>
      <c r="G5" s="692"/>
      <c r="H5" s="692"/>
      <c r="I5" s="9"/>
    </row>
    <row r="6" spans="1:14" ht="12.75" customHeight="1" x14ac:dyDescent="0.2">
      <c r="A6" s="22">
        <v>1</v>
      </c>
      <c r="B6" s="693" t="s">
        <v>142</v>
      </c>
      <c r="C6" s="694"/>
      <c r="D6" s="694"/>
      <c r="E6" s="694"/>
      <c r="F6" s="694"/>
      <c r="G6" s="694"/>
      <c r="H6" s="695"/>
      <c r="I6" s="516"/>
    </row>
    <row r="7" spans="1:14" ht="12.75" customHeight="1" x14ac:dyDescent="0.2">
      <c r="A7" s="22" t="s">
        <v>49</v>
      </c>
      <c r="B7" s="13" t="s">
        <v>131</v>
      </c>
      <c r="C7" s="608" t="str">
        <f>'B. Algandmed'!D107</f>
        <v xml:space="preserve">maagaas </v>
      </c>
      <c r="D7" s="612"/>
      <c r="E7" s="612"/>
      <c r="F7" s="612"/>
      <c r="G7" s="612"/>
      <c r="H7" s="613"/>
      <c r="I7" s="9"/>
    </row>
    <row r="8" spans="1:14" ht="12.75" customHeight="1" x14ac:dyDescent="0.2">
      <c r="A8" s="22" t="s">
        <v>53</v>
      </c>
      <c r="B8" s="13" t="s">
        <v>126</v>
      </c>
      <c r="C8" s="199" t="str">
        <f>'B. Algandmed'!C108</f>
        <v>tuh m3</v>
      </c>
      <c r="D8" s="190">
        <f>'B. Algandmed'!D108</f>
        <v>332.892</v>
      </c>
      <c r="E8" s="190">
        <f>'B. Algandmed'!E108</f>
        <v>313.17699999999996</v>
      </c>
      <c r="F8" s="190">
        <f>'B. Algandmed'!F108</f>
        <v>229.99299999999999</v>
      </c>
      <c r="G8" s="190">
        <f>'B. Algandmed'!G108</f>
        <v>30</v>
      </c>
      <c r="H8" s="190">
        <f>'B. Algandmed'!H108</f>
        <v>30</v>
      </c>
      <c r="I8" s="517"/>
    </row>
    <row r="9" spans="1:14" ht="12.75" customHeight="1" x14ac:dyDescent="0.2">
      <c r="A9" s="22" t="s">
        <v>56</v>
      </c>
      <c r="B9" s="13" t="s">
        <v>127</v>
      </c>
      <c r="C9" s="12" t="str">
        <f>"€/"&amp;C8</f>
        <v>€/tuh m3</v>
      </c>
      <c r="D9" s="52">
        <f>IF(D8=0,0,D10*1000/D8)</f>
        <v>309.60747029066482</v>
      </c>
      <c r="E9" s="52">
        <f>IF(E8=0,0,E10*1000/E8)</f>
        <v>666.70604801757486</v>
      </c>
      <c r="F9" s="52">
        <f>IF(F8=0,0,F10*1000/F8)</f>
        <v>714.66088098333432</v>
      </c>
      <c r="G9" s="58">
        <v>643.65</v>
      </c>
      <c r="H9" s="58">
        <v>643.65</v>
      </c>
      <c r="I9" s="520"/>
    </row>
    <row r="10" spans="1:14" ht="12.75" customHeight="1" x14ac:dyDescent="0.2">
      <c r="A10" s="22" t="s">
        <v>59</v>
      </c>
      <c r="B10" s="24" t="s">
        <v>128</v>
      </c>
      <c r="C10" s="25" t="s">
        <v>6</v>
      </c>
      <c r="D10" s="246">
        <v>103.06585</v>
      </c>
      <c r="E10" s="246">
        <v>208.797</v>
      </c>
      <c r="F10" s="246">
        <v>164.36699999999999</v>
      </c>
      <c r="G10" s="247">
        <f>G8*G9/1000</f>
        <v>19.3095</v>
      </c>
      <c r="H10" s="247">
        <f>H8*H9/1000</f>
        <v>19.3095</v>
      </c>
      <c r="I10" s="519"/>
      <c r="J10" s="505"/>
    </row>
    <row r="11" spans="1:14" ht="12.75" customHeight="1" x14ac:dyDescent="0.2">
      <c r="A11" s="110" t="s">
        <v>62</v>
      </c>
      <c r="B11" s="20" t="s">
        <v>290</v>
      </c>
      <c r="C11" s="44" t="s">
        <v>11</v>
      </c>
      <c r="D11" s="248">
        <f>IF('B. Algandmed'!D110=0,0,D10*1000/'B. Algandmed'!D110)</f>
        <v>32.017318540916733</v>
      </c>
      <c r="E11" s="248">
        <f>IF('B. Algandmed'!E110=0,0,E10*1000/'B. Algandmed'!E110)</f>
        <v>68.310045903440027</v>
      </c>
      <c r="F11" s="248">
        <f>IF('B. Algandmed'!F110=0,0,F10*1000/'B. Algandmed'!F110)</f>
        <v>73.828603407369243</v>
      </c>
      <c r="G11" s="248">
        <f>IF('B. Algandmed'!G110=0,0,G10*1000/'B. Algandmed'!G110)</f>
        <v>66.492768595041326</v>
      </c>
      <c r="H11" s="248">
        <f>IF('B. Algandmed'!H110=0,0,H10*1000/'B. Algandmed'!H110)</f>
        <v>66.492768595041326</v>
      </c>
      <c r="I11" s="520"/>
    </row>
    <row r="12" spans="1:14" s="84" customFormat="1" ht="12.75" customHeight="1" x14ac:dyDescent="0.2">
      <c r="A12" s="608"/>
      <c r="B12" s="609"/>
      <c r="C12" s="609"/>
      <c r="D12" s="609"/>
      <c r="E12" s="609"/>
      <c r="F12" s="609"/>
      <c r="G12" s="609"/>
      <c r="H12" s="610"/>
      <c r="I12" s="16"/>
    </row>
    <row r="13" spans="1:14" ht="12.75" customHeight="1" x14ac:dyDescent="0.2">
      <c r="A13" s="22" t="s">
        <v>63</v>
      </c>
      <c r="B13" s="13" t="s">
        <v>130</v>
      </c>
      <c r="C13" s="611" t="str">
        <f>'B. Algandmed'!D115</f>
        <v xml:space="preserve">hakkpuit </v>
      </c>
      <c r="D13" s="612"/>
      <c r="E13" s="612"/>
      <c r="F13" s="612"/>
      <c r="G13" s="612"/>
      <c r="H13" s="613"/>
      <c r="I13" s="9"/>
    </row>
    <row r="14" spans="1:14" ht="12.75" customHeight="1" outlineLevel="1" x14ac:dyDescent="0.2">
      <c r="A14" s="22" t="s">
        <v>66</v>
      </c>
      <c r="B14" s="13" t="s">
        <v>129</v>
      </c>
      <c r="C14" s="199" t="str">
        <f>'B. Algandmed'!C116</f>
        <v>pm3</v>
      </c>
      <c r="D14" s="190">
        <f>'B. Algandmed'!D116</f>
        <v>0</v>
      </c>
      <c r="E14" s="190">
        <f>'B. Algandmed'!E116</f>
        <v>0</v>
      </c>
      <c r="F14" s="190">
        <f>'B. Algandmed'!F116</f>
        <v>1220</v>
      </c>
      <c r="G14" s="190">
        <f>'B. Algandmed'!G116</f>
        <v>4600</v>
      </c>
      <c r="H14" s="190">
        <f>'B. Algandmed'!H116</f>
        <v>4600</v>
      </c>
      <c r="I14" s="517"/>
      <c r="J14" s="505"/>
      <c r="K14" s="505"/>
      <c r="L14" s="505"/>
      <c r="M14" s="505"/>
      <c r="N14" s="505"/>
    </row>
    <row r="15" spans="1:14" ht="12.75" customHeight="1" outlineLevel="1" x14ac:dyDescent="0.2">
      <c r="A15" s="22" t="s">
        <v>69</v>
      </c>
      <c r="B15" s="13" t="s">
        <v>132</v>
      </c>
      <c r="C15" s="12" t="str">
        <f>"€/"&amp;C14</f>
        <v>€/pm3</v>
      </c>
      <c r="D15" s="52">
        <f>IF(D14=0,0,D16*1000/D14)</f>
        <v>0</v>
      </c>
      <c r="E15" s="52">
        <f>IF(E14=0,0,E16*1000/E14)</f>
        <v>0</v>
      </c>
      <c r="F15" s="52">
        <f>IF(F14=0,0,F16*1000/F14)</f>
        <v>16.672131147540984</v>
      </c>
      <c r="G15" s="58">
        <v>19.335000000000001</v>
      </c>
      <c r="H15" s="58">
        <v>19.335000000000001</v>
      </c>
      <c r="I15" s="517"/>
      <c r="K15" s="505"/>
      <c r="L15" s="505"/>
      <c r="M15" s="505"/>
      <c r="N15" s="505"/>
    </row>
    <row r="16" spans="1:14" ht="12.75" customHeight="1" outlineLevel="1" x14ac:dyDescent="0.2">
      <c r="A16" s="22" t="s">
        <v>70</v>
      </c>
      <c r="B16" s="24" t="s">
        <v>133</v>
      </c>
      <c r="C16" s="25" t="s">
        <v>6</v>
      </c>
      <c r="D16" s="246"/>
      <c r="E16" s="246"/>
      <c r="F16" s="246">
        <v>20.34</v>
      </c>
      <c r="G16" s="247">
        <f>G14*G15/1000</f>
        <v>88.941000000000003</v>
      </c>
      <c r="H16" s="247">
        <f>H14*H15/1000</f>
        <v>88.941000000000003</v>
      </c>
      <c r="I16" s="517"/>
      <c r="M16" s="123"/>
    </row>
    <row r="17" spans="1:9" ht="12.75" customHeight="1" outlineLevel="1" x14ac:dyDescent="0.2">
      <c r="A17" s="110" t="s">
        <v>71</v>
      </c>
      <c r="B17" s="20" t="s">
        <v>290</v>
      </c>
      <c r="C17" s="44" t="s">
        <v>11</v>
      </c>
      <c r="D17" s="248">
        <f>IF('B. Algandmed'!D118=0,0,'E. Muutuvkulud'!D16*1000/'B. Algandmed'!D118)</f>
        <v>0</v>
      </c>
      <c r="E17" s="248">
        <f>IF('B. Algandmed'!E118=0,0,'E. Muutuvkulud'!E16*1000/'B. Algandmed'!E118)</f>
        <v>0</v>
      </c>
      <c r="F17" s="248">
        <f>IF('B. Algandmed'!F118=0,0,'E. Muutuvkulud'!F16*1000/'B. Algandmed'!F118)</f>
        <v>20.582877959927139</v>
      </c>
      <c r="G17" s="248">
        <f>IF('B. Algandmed'!G118=0,0,'E. Muutuvkulud'!G16*1000/'B. Algandmed'!G118)</f>
        <v>23.870370370370367</v>
      </c>
      <c r="H17" s="248">
        <f>IF('B. Algandmed'!H118=0,0,'E. Muutuvkulud'!H16*1000/'B. Algandmed'!H118)</f>
        <v>23.870370370370367</v>
      </c>
      <c r="I17" s="520"/>
    </row>
    <row r="18" spans="1:9" s="84" customFormat="1" ht="12.75" customHeight="1" outlineLevel="1" x14ac:dyDescent="0.2">
      <c r="A18" s="608"/>
      <c r="B18" s="609"/>
      <c r="C18" s="609"/>
      <c r="D18" s="609"/>
      <c r="E18" s="609"/>
      <c r="F18" s="609"/>
      <c r="G18" s="609"/>
      <c r="H18" s="610"/>
      <c r="I18" s="16"/>
    </row>
    <row r="19" spans="1:9" ht="12.75" customHeight="1" outlineLevel="1" x14ac:dyDescent="0.2">
      <c r="A19" s="22" t="s">
        <v>73</v>
      </c>
      <c r="B19" s="13" t="s">
        <v>134</v>
      </c>
      <c r="C19" s="611" t="str">
        <f>'B. Algandmed'!D123</f>
        <v>vali loendist</v>
      </c>
      <c r="D19" s="612"/>
      <c r="E19" s="612"/>
      <c r="F19" s="612"/>
      <c r="G19" s="612"/>
      <c r="H19" s="613"/>
      <c r="I19" s="9"/>
    </row>
    <row r="20" spans="1:9" ht="12.75" hidden="1" customHeight="1" outlineLevel="2" x14ac:dyDescent="0.2">
      <c r="A20" s="22" t="s">
        <v>76</v>
      </c>
      <c r="B20" s="13" t="s">
        <v>135</v>
      </c>
      <c r="C20" s="199" t="str">
        <f>'B. Algandmed'!C124</f>
        <v>(ühik)</v>
      </c>
      <c r="D20" s="190">
        <f>'B. Algandmed'!D124</f>
        <v>0</v>
      </c>
      <c r="E20" s="190">
        <f>'B. Algandmed'!E124</f>
        <v>0</v>
      </c>
      <c r="F20" s="190">
        <f>'B. Algandmed'!F124</f>
        <v>0</v>
      </c>
      <c r="G20" s="190">
        <f>'B. Algandmed'!G124</f>
        <v>0</v>
      </c>
      <c r="H20" s="190">
        <f>'B. Algandmed'!H124</f>
        <v>0</v>
      </c>
      <c r="I20" s="517"/>
    </row>
    <row r="21" spans="1:9" ht="12.75" hidden="1" customHeight="1" outlineLevel="2" x14ac:dyDescent="0.2">
      <c r="A21" s="22" t="s">
        <v>79</v>
      </c>
      <c r="B21" s="13" t="s">
        <v>136</v>
      </c>
      <c r="C21" s="12" t="str">
        <f>"€/"&amp;C20</f>
        <v>€/(ühik)</v>
      </c>
      <c r="D21" s="52">
        <f>IF(D20=0,0,D22*1000/D20)</f>
        <v>0</v>
      </c>
      <c r="E21" s="52">
        <f>IF(E20=0,0,E22*1000/E20)</f>
        <v>0</v>
      </c>
      <c r="F21" s="52">
        <f>IF(F20=0,0,F22*1000/F20)</f>
        <v>0</v>
      </c>
      <c r="G21" s="58"/>
      <c r="H21" s="58"/>
      <c r="I21" s="518"/>
    </row>
    <row r="22" spans="1:9" ht="12.75" hidden="1" customHeight="1" outlineLevel="2" x14ac:dyDescent="0.2">
      <c r="A22" s="22" t="s">
        <v>80</v>
      </c>
      <c r="B22" s="24" t="s">
        <v>137</v>
      </c>
      <c r="C22" s="25" t="s">
        <v>6</v>
      </c>
      <c r="D22" s="246"/>
      <c r="E22" s="246"/>
      <c r="F22" s="246"/>
      <c r="G22" s="247">
        <f>G20*G21/1000</f>
        <v>0</v>
      </c>
      <c r="H22" s="247">
        <f>H20*H21/1000</f>
        <v>0</v>
      </c>
      <c r="I22" s="519"/>
    </row>
    <row r="23" spans="1:9" ht="12.75" hidden="1" customHeight="1" outlineLevel="2" x14ac:dyDescent="0.2">
      <c r="A23" s="110" t="s">
        <v>81</v>
      </c>
      <c r="B23" s="20" t="s">
        <v>290</v>
      </c>
      <c r="C23" s="44" t="s">
        <v>11</v>
      </c>
      <c r="D23" s="248">
        <f>IF('B. Algandmed'!D126=0,0,'E. Muutuvkulud'!D22*1000/'B. Algandmed'!D126)</f>
        <v>0</v>
      </c>
      <c r="E23" s="248">
        <f>IF('B. Algandmed'!E126=0,0,'E. Muutuvkulud'!E22*1000/'B. Algandmed'!E126)</f>
        <v>0</v>
      </c>
      <c r="F23" s="248">
        <f>IF('B. Algandmed'!F126=0,0,'E. Muutuvkulud'!F22*1000/'B. Algandmed'!F126)</f>
        <v>0</v>
      </c>
      <c r="G23" s="248">
        <f>IF('B. Algandmed'!G126=0,0,'E. Muutuvkulud'!G22*1000/'B. Algandmed'!G126)</f>
        <v>0</v>
      </c>
      <c r="H23" s="248">
        <f>IF('B. Algandmed'!H126=0,0,'E. Muutuvkulud'!H22*1000/'B. Algandmed'!H126)</f>
        <v>0</v>
      </c>
      <c r="I23" s="520"/>
    </row>
    <row r="24" spans="1:9" s="84" customFormat="1" ht="12.75" hidden="1" customHeight="1" outlineLevel="2" x14ac:dyDescent="0.2">
      <c r="A24" s="629"/>
      <c r="B24" s="629"/>
      <c r="C24" s="629"/>
      <c r="D24" s="629"/>
      <c r="E24" s="629"/>
      <c r="F24" s="629"/>
      <c r="G24" s="629"/>
      <c r="H24" s="629"/>
      <c r="I24" s="16"/>
    </row>
    <row r="25" spans="1:9" ht="12.75" customHeight="1" outlineLevel="1" collapsed="1" x14ac:dyDescent="0.2">
      <c r="A25" s="22" t="s">
        <v>89</v>
      </c>
      <c r="B25" s="24" t="s">
        <v>138</v>
      </c>
      <c r="C25" s="25" t="s">
        <v>6</v>
      </c>
      <c r="D25" s="247">
        <f>D10+D16+D22</f>
        <v>103.06585</v>
      </c>
      <c r="E25" s="247">
        <f>E10+E16+E22</f>
        <v>208.797</v>
      </c>
      <c r="F25" s="247">
        <f>F10+F16+F22</f>
        <v>184.70699999999999</v>
      </c>
      <c r="G25" s="247">
        <f>G10+G16+G22</f>
        <v>108.2505</v>
      </c>
      <c r="H25" s="247">
        <f>H10+H16+H22</f>
        <v>108.2505</v>
      </c>
      <c r="I25" s="519"/>
    </row>
    <row r="26" spans="1:9" ht="12.75" customHeight="1" x14ac:dyDescent="0.2">
      <c r="A26" s="629"/>
      <c r="B26" s="629"/>
      <c r="C26" s="629"/>
      <c r="D26" s="629"/>
      <c r="E26" s="629"/>
      <c r="F26" s="629"/>
      <c r="G26" s="629"/>
      <c r="H26" s="629"/>
      <c r="I26" s="16"/>
    </row>
    <row r="27" spans="1:9" ht="12.75" customHeight="1" x14ac:dyDescent="0.2">
      <c r="A27" s="244" t="s">
        <v>91</v>
      </c>
      <c r="B27" s="693" t="s">
        <v>143</v>
      </c>
      <c r="C27" s="694"/>
      <c r="D27" s="694"/>
      <c r="E27" s="694"/>
      <c r="F27" s="694"/>
      <c r="G27" s="694"/>
      <c r="H27" s="695"/>
      <c r="I27" s="516"/>
    </row>
    <row r="28" spans="1:9" ht="12.75" hidden="1" customHeight="1" outlineLevel="1" x14ac:dyDescent="0.2">
      <c r="A28" s="22" t="s">
        <v>93</v>
      </c>
      <c r="B28" s="13" t="s">
        <v>307</v>
      </c>
      <c r="C28" s="44" t="s">
        <v>1</v>
      </c>
      <c r="D28" s="62">
        <f>'B. Algandmed'!D134</f>
        <v>0</v>
      </c>
      <c r="E28" s="62">
        <f>'B. Algandmed'!E134</f>
        <v>0</v>
      </c>
      <c r="F28" s="62">
        <f>'B. Algandmed'!F134</f>
        <v>0</v>
      </c>
      <c r="G28" s="62">
        <f>'B. Algandmed'!G134</f>
        <v>0</v>
      </c>
      <c r="H28" s="62">
        <f>'B. Algandmed'!H134</f>
        <v>0</v>
      </c>
      <c r="I28" s="56"/>
    </row>
    <row r="29" spans="1:9" ht="12.75" hidden="1" customHeight="1" outlineLevel="1" x14ac:dyDescent="0.2">
      <c r="A29" s="22" t="s">
        <v>291</v>
      </c>
      <c r="B29" s="13" t="s">
        <v>308</v>
      </c>
      <c r="C29" s="12" t="s">
        <v>11</v>
      </c>
      <c r="D29" s="52">
        <f>IF(D28=0,0,D30*1000/D28)</f>
        <v>0</v>
      </c>
      <c r="E29" s="52">
        <f>IF(E28=0,0,E30*1000/E28)</f>
        <v>0</v>
      </c>
      <c r="F29" s="52">
        <f>IF(F28=0,0,F30*1000/F28)</f>
        <v>0</v>
      </c>
      <c r="G29" s="58"/>
      <c r="H29" s="58"/>
      <c r="I29" s="518"/>
    </row>
    <row r="30" spans="1:9" ht="12.75" hidden="1" customHeight="1" outlineLevel="1" x14ac:dyDescent="0.2">
      <c r="A30" s="22" t="s">
        <v>292</v>
      </c>
      <c r="B30" s="24" t="s">
        <v>309</v>
      </c>
      <c r="C30" s="25" t="s">
        <v>6</v>
      </c>
      <c r="D30" s="246"/>
      <c r="E30" s="246"/>
      <c r="F30" s="246"/>
      <c r="G30" s="247">
        <f>G28*G29/1000</f>
        <v>0</v>
      </c>
      <c r="H30" s="247">
        <f>H28*H29/1000</f>
        <v>0</v>
      </c>
      <c r="I30" s="519"/>
    </row>
    <row r="31" spans="1:9" ht="12.75" hidden="1" customHeight="1" outlineLevel="1" x14ac:dyDescent="0.2">
      <c r="A31" s="629"/>
      <c r="B31" s="629"/>
      <c r="C31" s="629"/>
      <c r="D31" s="629"/>
      <c r="E31" s="629"/>
      <c r="F31" s="629"/>
      <c r="G31" s="629"/>
      <c r="H31" s="629"/>
      <c r="I31" s="16"/>
    </row>
    <row r="32" spans="1:9" ht="12.75" hidden="1" customHeight="1" outlineLevel="1" x14ac:dyDescent="0.2">
      <c r="A32" s="22" t="s">
        <v>95</v>
      </c>
      <c r="B32" s="13" t="s">
        <v>310</v>
      </c>
      <c r="C32" s="44" t="s">
        <v>1</v>
      </c>
      <c r="D32" s="62">
        <f>'B. Algandmed'!D135</f>
        <v>0</v>
      </c>
      <c r="E32" s="62">
        <f>'B. Algandmed'!E135</f>
        <v>0</v>
      </c>
      <c r="F32" s="62">
        <f>'B. Algandmed'!F135</f>
        <v>0</v>
      </c>
      <c r="G32" s="62">
        <f>'B. Algandmed'!G135</f>
        <v>0</v>
      </c>
      <c r="H32" s="62">
        <f>'B. Algandmed'!H135</f>
        <v>0</v>
      </c>
      <c r="I32" s="56"/>
    </row>
    <row r="33" spans="1:9" ht="12.75" hidden="1" customHeight="1" outlineLevel="1" x14ac:dyDescent="0.2">
      <c r="A33" s="22" t="s">
        <v>96</v>
      </c>
      <c r="B33" s="13" t="s">
        <v>311</v>
      </c>
      <c r="C33" s="12" t="s">
        <v>11</v>
      </c>
      <c r="D33" s="52">
        <f>IF(D32=0,0,D34*1000/D32)</f>
        <v>0</v>
      </c>
      <c r="E33" s="52">
        <f>IF(E32=0,0,E34*1000/E32)</f>
        <v>0</v>
      </c>
      <c r="F33" s="52">
        <f>IF(F32=0,0,F34*1000/F32)</f>
        <v>0</v>
      </c>
      <c r="G33" s="58"/>
      <c r="H33" s="58"/>
      <c r="I33" s="518"/>
    </row>
    <row r="34" spans="1:9" ht="12.75" hidden="1" customHeight="1" outlineLevel="1" x14ac:dyDescent="0.2">
      <c r="A34" s="22" t="s">
        <v>293</v>
      </c>
      <c r="B34" s="24" t="s">
        <v>312</v>
      </c>
      <c r="C34" s="25" t="s">
        <v>6</v>
      </c>
      <c r="D34" s="246"/>
      <c r="E34" s="246"/>
      <c r="F34" s="246"/>
      <c r="G34" s="247">
        <f>G32*G33/1000</f>
        <v>0</v>
      </c>
      <c r="H34" s="247">
        <f>H32*H33/1000</f>
        <v>0</v>
      </c>
      <c r="I34" s="519"/>
    </row>
    <row r="35" spans="1:9" ht="12.75" hidden="1" customHeight="1" outlineLevel="1" x14ac:dyDescent="0.2">
      <c r="A35" s="629"/>
      <c r="B35" s="629"/>
      <c r="C35" s="629"/>
      <c r="D35" s="629"/>
      <c r="E35" s="629"/>
      <c r="F35" s="629"/>
      <c r="G35" s="629"/>
      <c r="H35" s="629"/>
      <c r="I35" s="16"/>
    </row>
    <row r="36" spans="1:9" ht="12.75" hidden="1" customHeight="1" outlineLevel="1" x14ac:dyDescent="0.2">
      <c r="A36" s="22" t="s">
        <v>190</v>
      </c>
      <c r="B36" s="13" t="s">
        <v>352</v>
      </c>
      <c r="C36" s="44" t="s">
        <v>1</v>
      </c>
      <c r="D36" s="62">
        <f>'B. Algandmed'!D136</f>
        <v>0</v>
      </c>
      <c r="E36" s="62">
        <f>'B. Algandmed'!E136</f>
        <v>0</v>
      </c>
      <c r="F36" s="62">
        <f>'B. Algandmed'!F136</f>
        <v>0</v>
      </c>
      <c r="G36" s="62">
        <f>'B. Algandmed'!G136</f>
        <v>0</v>
      </c>
      <c r="H36" s="62">
        <f>'B. Algandmed'!H136</f>
        <v>0</v>
      </c>
      <c r="I36" s="56"/>
    </row>
    <row r="37" spans="1:9" ht="12.75" hidden="1" customHeight="1" outlineLevel="1" x14ac:dyDescent="0.2">
      <c r="A37" s="22" t="s">
        <v>191</v>
      </c>
      <c r="B37" s="13" t="s">
        <v>353</v>
      </c>
      <c r="C37" s="12" t="s">
        <v>11</v>
      </c>
      <c r="D37" s="52">
        <f>IF(D36=0,0,D38*1000/D36)</f>
        <v>0</v>
      </c>
      <c r="E37" s="52">
        <f>IF(E36=0,0,E38*1000/E36)</f>
        <v>0</v>
      </c>
      <c r="F37" s="52">
        <f>IF(F36=0,0,F38*1000/F36)</f>
        <v>0</v>
      </c>
      <c r="G37" s="58"/>
      <c r="H37" s="58"/>
      <c r="I37" s="518"/>
    </row>
    <row r="38" spans="1:9" ht="12.75" hidden="1" customHeight="1" outlineLevel="1" x14ac:dyDescent="0.2">
      <c r="A38" s="22" t="s">
        <v>351</v>
      </c>
      <c r="B38" s="24" t="s">
        <v>529</v>
      </c>
      <c r="C38" s="25" t="s">
        <v>6</v>
      </c>
      <c r="D38" s="246"/>
      <c r="E38" s="246"/>
      <c r="F38" s="246"/>
      <c r="G38" s="247">
        <f>G36*G37/1000</f>
        <v>0</v>
      </c>
      <c r="H38" s="247">
        <f>H36*H37/1000</f>
        <v>0</v>
      </c>
      <c r="I38" s="519"/>
    </row>
    <row r="39" spans="1:9" ht="12.75" hidden="1" customHeight="1" outlineLevel="1" x14ac:dyDescent="0.2">
      <c r="A39" s="629"/>
      <c r="B39" s="629"/>
      <c r="C39" s="629"/>
      <c r="D39" s="629"/>
      <c r="E39" s="629"/>
      <c r="F39" s="629"/>
      <c r="G39" s="629"/>
      <c r="H39" s="629"/>
      <c r="I39" s="16"/>
    </row>
    <row r="40" spans="1:9" ht="12.75" hidden="1" customHeight="1" outlineLevel="1" x14ac:dyDescent="0.2">
      <c r="A40" s="22" t="s">
        <v>316</v>
      </c>
      <c r="B40" s="13" t="s">
        <v>355</v>
      </c>
      <c r="C40" s="44" t="s">
        <v>1</v>
      </c>
      <c r="D40" s="62">
        <f>'B. Algandmed'!D137</f>
        <v>0</v>
      </c>
      <c r="E40" s="62">
        <f>'B. Algandmed'!E137</f>
        <v>0</v>
      </c>
      <c r="F40" s="62">
        <f>'B. Algandmed'!F137</f>
        <v>0</v>
      </c>
      <c r="G40" s="62">
        <f>'B. Algandmed'!G137</f>
        <v>0</v>
      </c>
      <c r="H40" s="62">
        <f>'B. Algandmed'!H137</f>
        <v>0</v>
      </c>
      <c r="I40" s="56"/>
    </row>
    <row r="41" spans="1:9" ht="12.75" hidden="1" customHeight="1" outlineLevel="1" x14ac:dyDescent="0.2">
      <c r="A41" s="22" t="s">
        <v>317</v>
      </c>
      <c r="B41" s="13" t="s">
        <v>356</v>
      </c>
      <c r="C41" s="12" t="s">
        <v>11</v>
      </c>
      <c r="D41" s="52">
        <f>IF(D40=0,0,D42*1000/D40)</f>
        <v>0</v>
      </c>
      <c r="E41" s="52">
        <f>IF(E40=0,0,E42*1000/E40)</f>
        <v>0</v>
      </c>
      <c r="F41" s="52">
        <f>IF(F40=0,0,F42*1000/F40)</f>
        <v>0</v>
      </c>
      <c r="G41" s="58"/>
      <c r="H41" s="58"/>
      <c r="I41" s="518"/>
    </row>
    <row r="42" spans="1:9" ht="12.75" hidden="1" customHeight="1" outlineLevel="1" x14ac:dyDescent="0.2">
      <c r="A42" s="22" t="s">
        <v>318</v>
      </c>
      <c r="B42" s="24" t="s">
        <v>354</v>
      </c>
      <c r="C42" s="25" t="s">
        <v>6</v>
      </c>
      <c r="D42" s="246"/>
      <c r="E42" s="246"/>
      <c r="F42" s="246"/>
      <c r="G42" s="247">
        <f>G40*G41/1000</f>
        <v>0</v>
      </c>
      <c r="H42" s="247">
        <f>H40*H41/1000</f>
        <v>0</v>
      </c>
      <c r="I42" s="519"/>
    </row>
    <row r="43" spans="1:9" ht="12.75" hidden="1" customHeight="1" outlineLevel="1" x14ac:dyDescent="0.2">
      <c r="A43" s="629"/>
      <c r="B43" s="629"/>
      <c r="C43" s="629"/>
      <c r="D43" s="629"/>
      <c r="E43" s="629"/>
      <c r="F43" s="629"/>
      <c r="G43" s="629"/>
      <c r="H43" s="629"/>
      <c r="I43" s="16"/>
    </row>
    <row r="44" spans="1:9" ht="12.75" customHeight="1" collapsed="1" x14ac:dyDescent="0.2">
      <c r="A44" s="22" t="s">
        <v>141</v>
      </c>
      <c r="B44" s="24" t="s">
        <v>140</v>
      </c>
      <c r="C44" s="25" t="s">
        <v>6</v>
      </c>
      <c r="D44" s="26">
        <f>D30+D34+D38+D42</f>
        <v>0</v>
      </c>
      <c r="E44" s="26">
        <f>E30+E34+E38+E42</f>
        <v>0</v>
      </c>
      <c r="F44" s="26">
        <f>F30+F34+F38+F42</f>
        <v>0</v>
      </c>
      <c r="G44" s="26">
        <f>G30+G34+G38+G42</f>
        <v>0</v>
      </c>
      <c r="H44" s="26">
        <f>H30+H34+H38+H42</f>
        <v>0</v>
      </c>
      <c r="I44" s="521"/>
    </row>
    <row r="45" spans="1:9" ht="12.75" customHeight="1" x14ac:dyDescent="0.2">
      <c r="A45" s="629"/>
      <c r="B45" s="629"/>
      <c r="C45" s="629"/>
      <c r="D45" s="629"/>
      <c r="E45" s="629"/>
      <c r="F45" s="629"/>
      <c r="G45" s="629"/>
      <c r="H45" s="629"/>
      <c r="I45" s="16"/>
    </row>
    <row r="46" spans="1:9" ht="12.75" customHeight="1" x14ac:dyDescent="0.2">
      <c r="A46" s="245" t="s">
        <v>97</v>
      </c>
      <c r="B46" s="696" t="s">
        <v>144</v>
      </c>
      <c r="C46" s="696"/>
      <c r="D46" s="696"/>
      <c r="E46" s="696"/>
      <c r="F46" s="696"/>
      <c r="G46" s="696"/>
      <c r="H46" s="696"/>
      <c r="I46" s="516"/>
    </row>
    <row r="47" spans="1:9" ht="12.75" customHeight="1" x14ac:dyDescent="0.2">
      <c r="A47" s="22" t="s">
        <v>145</v>
      </c>
      <c r="B47" s="24" t="s">
        <v>147</v>
      </c>
      <c r="C47" s="46" t="s">
        <v>6</v>
      </c>
      <c r="D47" s="247">
        <f>'C. Abitabel elekter'!D10</f>
        <v>9.7692800000000002</v>
      </c>
      <c r="E47" s="247">
        <f>'C. Abitabel elekter'!E10</f>
        <v>10.219620000000001</v>
      </c>
      <c r="F47" s="247">
        <f>'C. Abitabel elekter'!F10</f>
        <v>9.0136099999999999</v>
      </c>
      <c r="G47" s="247">
        <f>'C. Abitabel elekter'!G10</f>
        <v>10.9554732</v>
      </c>
      <c r="H47" s="247">
        <f>'C. Abitabel elekter'!H10</f>
        <v>8.7643450999999999</v>
      </c>
      <c r="I47" s="519"/>
    </row>
    <row r="48" spans="1:9" ht="12.75" customHeight="1" x14ac:dyDescent="0.2">
      <c r="A48" s="629"/>
      <c r="B48" s="629"/>
      <c r="C48" s="629"/>
      <c r="D48" s="629"/>
      <c r="E48" s="629"/>
      <c r="F48" s="629"/>
      <c r="G48" s="629"/>
      <c r="H48" s="629"/>
      <c r="I48" s="16"/>
    </row>
    <row r="49" spans="1:11" ht="12.75" customHeight="1" x14ac:dyDescent="0.2">
      <c r="A49" s="245" t="s">
        <v>115</v>
      </c>
      <c r="B49" s="693" t="s">
        <v>7</v>
      </c>
      <c r="C49" s="694"/>
      <c r="D49" s="694"/>
      <c r="E49" s="694"/>
      <c r="F49" s="694"/>
      <c r="G49" s="694"/>
      <c r="H49" s="694"/>
      <c r="I49" s="516"/>
    </row>
    <row r="50" spans="1:11" ht="12.75" customHeight="1" x14ac:dyDescent="0.2">
      <c r="A50" s="22" t="s">
        <v>150</v>
      </c>
      <c r="B50" s="24" t="s">
        <v>297</v>
      </c>
      <c r="C50" s="46" t="s">
        <v>6</v>
      </c>
      <c r="D50" s="247">
        <f>'D. Abitabel keskkonnatasud'!D8</f>
        <v>1.35684</v>
      </c>
      <c r="E50" s="247">
        <f>'D. Abitabel keskkonnatasud'!E8</f>
        <v>1.68797</v>
      </c>
      <c r="F50" s="247">
        <f>'D. Abitabel keskkonnatasud'!F8</f>
        <v>0</v>
      </c>
      <c r="G50" s="247">
        <f>'D. Abitabel keskkonnatasud'!G8</f>
        <v>0</v>
      </c>
      <c r="H50" s="247">
        <f>'D. Abitabel keskkonnatasud'!H8</f>
        <v>0</v>
      </c>
      <c r="I50" s="519"/>
    </row>
    <row r="51" spans="1:11" ht="12.75" customHeight="1" x14ac:dyDescent="0.2">
      <c r="A51" s="629"/>
      <c r="B51" s="629"/>
      <c r="C51" s="629"/>
      <c r="D51" s="629"/>
      <c r="E51" s="629"/>
      <c r="F51" s="629"/>
      <c r="G51" s="629"/>
      <c r="H51" s="629"/>
      <c r="I51" s="16"/>
    </row>
    <row r="52" spans="1:11" ht="12.75" customHeight="1" x14ac:dyDescent="0.2">
      <c r="A52" s="245" t="s">
        <v>125</v>
      </c>
      <c r="B52" s="696" t="s">
        <v>151</v>
      </c>
      <c r="C52" s="696"/>
      <c r="D52" s="696"/>
      <c r="E52" s="696"/>
      <c r="F52" s="696"/>
      <c r="G52" s="696"/>
      <c r="H52" s="696"/>
      <c r="I52" s="516"/>
    </row>
    <row r="53" spans="1:11" ht="12.75" customHeight="1" x14ac:dyDescent="0.2">
      <c r="A53" s="22" t="s">
        <v>156</v>
      </c>
      <c r="B53" s="13" t="s">
        <v>152</v>
      </c>
      <c r="C53" s="199" t="s">
        <v>263</v>
      </c>
      <c r="D53" s="62">
        <f>'B. Algandmed'!D157</f>
        <v>0</v>
      </c>
      <c r="E53" s="62">
        <f>'B. Algandmed'!E157</f>
        <v>0</v>
      </c>
      <c r="F53" s="62">
        <f>'B. Algandmed'!F157</f>
        <v>0</v>
      </c>
      <c r="G53" s="62">
        <f>'B. Algandmed'!G157</f>
        <v>0</v>
      </c>
      <c r="H53" s="62">
        <f>'B. Algandmed'!H157</f>
        <v>0</v>
      </c>
    </row>
    <row r="54" spans="1:11" ht="12.75" customHeight="1" x14ac:dyDescent="0.2">
      <c r="A54" s="22" t="s">
        <v>157</v>
      </c>
      <c r="B54" s="13" t="s">
        <v>154</v>
      </c>
      <c r="C54" s="12" t="str">
        <f>"€/"&amp;C53</f>
        <v>€/(ühik)</v>
      </c>
      <c r="D54" s="52">
        <f>IF(D53=0,0,D55*1000/D53)</f>
        <v>0</v>
      </c>
      <c r="E54" s="52">
        <f>IF(E53=0,0,E55*1000/E53)</f>
        <v>0</v>
      </c>
      <c r="F54" s="52">
        <f>IF(F53=0,0,F55*1000/F53)</f>
        <v>0</v>
      </c>
      <c r="G54" s="58">
        <v>0.12</v>
      </c>
      <c r="H54" s="58">
        <v>0.15</v>
      </c>
    </row>
    <row r="55" spans="1:11" ht="12.75" customHeight="1" x14ac:dyDescent="0.2">
      <c r="A55" s="22" t="s">
        <v>158</v>
      </c>
      <c r="B55" s="24" t="s">
        <v>155</v>
      </c>
      <c r="C55" s="46" t="s">
        <v>6</v>
      </c>
      <c r="D55" s="246">
        <v>0</v>
      </c>
      <c r="E55" s="246">
        <v>0</v>
      </c>
      <c r="F55" s="246">
        <v>0</v>
      </c>
      <c r="G55" s="247">
        <f>G53*G54/1000</f>
        <v>0</v>
      </c>
      <c r="H55" s="247">
        <f>H53*H54/1000</f>
        <v>0</v>
      </c>
      <c r="I55" s="519"/>
    </row>
    <row r="56" spans="1:11" ht="12.75" customHeight="1" x14ac:dyDescent="0.2">
      <c r="A56" s="692"/>
      <c r="B56" s="692"/>
      <c r="C56" s="692"/>
      <c r="D56" s="692"/>
      <c r="E56" s="692"/>
      <c r="F56" s="692"/>
      <c r="G56" s="692"/>
      <c r="H56" s="692"/>
      <c r="I56" s="9"/>
    </row>
    <row r="57" spans="1:11" ht="12.75" customHeight="1" x14ac:dyDescent="0.2">
      <c r="A57" s="245" t="s">
        <v>164</v>
      </c>
      <c r="B57" s="696" t="s">
        <v>163</v>
      </c>
      <c r="C57" s="696"/>
      <c r="D57" s="696"/>
      <c r="E57" s="696"/>
      <c r="F57" s="696"/>
      <c r="G57" s="696"/>
      <c r="H57" s="696"/>
      <c r="I57" s="516"/>
    </row>
    <row r="58" spans="1:11" ht="12.75" customHeight="1" x14ac:dyDescent="0.2">
      <c r="A58" s="22" t="s">
        <v>197</v>
      </c>
      <c r="B58" s="13" t="s">
        <v>162</v>
      </c>
      <c r="C58" s="47" t="str">
        <f>'B. Algandmed'!C158</f>
        <v>m³</v>
      </c>
      <c r="D58" s="62">
        <f>'B. Algandmed'!D158+'B. Algandmed'!D159</f>
        <v>19</v>
      </c>
      <c r="E58" s="62">
        <f>'B. Algandmed'!E158+'B. Algandmed'!E159</f>
        <v>19</v>
      </c>
      <c r="F58" s="62">
        <f>'B. Algandmed'!F158+'B. Algandmed'!F159</f>
        <v>40</v>
      </c>
      <c r="G58" s="62">
        <f>'B. Algandmed'!G158+'B. Algandmed'!G159</f>
        <v>25</v>
      </c>
      <c r="H58" s="62">
        <f>'B. Algandmed'!H158+'B. Algandmed'!H159</f>
        <v>20</v>
      </c>
      <c r="I58" s="56"/>
      <c r="J58" s="505"/>
      <c r="K58" s="500"/>
    </row>
    <row r="59" spans="1:11" ht="12.75" customHeight="1" x14ac:dyDescent="0.2">
      <c r="A59" s="22" t="s">
        <v>198</v>
      </c>
      <c r="B59" s="13" t="s">
        <v>159</v>
      </c>
      <c r="C59" s="45" t="s">
        <v>160</v>
      </c>
      <c r="D59" s="52">
        <f>IF(D58=0,0,D60*1000/D58)</f>
        <v>1.5451578947368418</v>
      </c>
      <c r="E59" s="52">
        <f>IF(E58=0,0,E60*1000/E58)</f>
        <v>1.9473684210526316</v>
      </c>
      <c r="F59" s="52">
        <f>IF(F58=0,0,F60*1000/F58)</f>
        <v>2.9249999999999998</v>
      </c>
      <c r="G59" s="58">
        <v>4.96</v>
      </c>
      <c r="H59" s="58">
        <v>5.2</v>
      </c>
      <c r="J59" s="500"/>
      <c r="K59" s="505"/>
    </row>
    <row r="60" spans="1:11" ht="12.75" customHeight="1" x14ac:dyDescent="0.2">
      <c r="A60" s="22" t="s">
        <v>170</v>
      </c>
      <c r="B60" s="24" t="s">
        <v>161</v>
      </c>
      <c r="C60" s="46" t="s">
        <v>6</v>
      </c>
      <c r="D60" s="246">
        <v>2.9357999999999999E-2</v>
      </c>
      <c r="E60" s="246">
        <v>3.6999999999999998E-2</v>
      </c>
      <c r="F60" s="246">
        <v>0.11700000000000001</v>
      </c>
      <c r="G60" s="247">
        <f>G58*G59/1000</f>
        <v>0.124</v>
      </c>
      <c r="H60" s="247">
        <f>H58*H59/1000</f>
        <v>0.104</v>
      </c>
      <c r="I60" s="519"/>
    </row>
    <row r="61" spans="1:11" ht="12.75" customHeight="1" x14ac:dyDescent="0.2">
      <c r="A61" s="692"/>
      <c r="B61" s="692"/>
      <c r="C61" s="692"/>
      <c r="D61" s="692"/>
      <c r="E61" s="692"/>
      <c r="F61" s="692"/>
      <c r="G61" s="692"/>
      <c r="H61" s="692"/>
      <c r="I61" s="9"/>
    </row>
    <row r="62" spans="1:11" ht="12.75" customHeight="1" x14ac:dyDescent="0.2">
      <c r="A62" s="245" t="s">
        <v>217</v>
      </c>
      <c r="B62" s="696" t="s">
        <v>165</v>
      </c>
      <c r="C62" s="696"/>
      <c r="D62" s="696"/>
      <c r="E62" s="696"/>
      <c r="F62" s="696"/>
      <c r="G62" s="696"/>
      <c r="H62" s="696"/>
      <c r="I62" s="516"/>
    </row>
    <row r="63" spans="1:11" ht="12.75" customHeight="1" x14ac:dyDescent="0.2">
      <c r="A63" s="22" t="s">
        <v>298</v>
      </c>
      <c r="B63" s="126" t="s">
        <v>294</v>
      </c>
      <c r="C63" s="199" t="str">
        <f>'B. Algandmed'!C160</f>
        <v>(ühik)</v>
      </c>
      <c r="D63" s="52">
        <f>'B. Algandmed'!D160</f>
        <v>0</v>
      </c>
      <c r="E63" s="52">
        <f>'B. Algandmed'!E160</f>
        <v>0</v>
      </c>
      <c r="F63" s="52">
        <f>'B. Algandmed'!F160</f>
        <v>0</v>
      </c>
      <c r="G63" s="52">
        <f>'B. Algandmed'!G160</f>
        <v>0</v>
      </c>
      <c r="H63" s="52">
        <f>'B. Algandmed'!H160</f>
        <v>0</v>
      </c>
      <c r="I63" s="55"/>
    </row>
    <row r="64" spans="1:11" ht="12.75" customHeight="1" x14ac:dyDescent="0.2">
      <c r="A64" s="22" t="s">
        <v>299</v>
      </c>
      <c r="B64" s="126" t="s">
        <v>295</v>
      </c>
      <c r="C64" s="12" t="str">
        <f>"€/"&amp;C63</f>
        <v>€/(ühik)</v>
      </c>
      <c r="D64" s="52">
        <f>IF(D63=0,0,D65*1000/D63)</f>
        <v>0</v>
      </c>
      <c r="E64" s="52">
        <f>IF(E63=0,0,E65*1000/E63)</f>
        <v>0</v>
      </c>
      <c r="F64" s="52">
        <f>IF(F63=0,0,F65*1000/F63)</f>
        <v>0</v>
      </c>
      <c r="G64" s="58"/>
      <c r="H64" s="58"/>
    </row>
    <row r="65" spans="1:9" ht="12.75" customHeight="1" x14ac:dyDescent="0.2">
      <c r="A65" s="22" t="s">
        <v>300</v>
      </c>
      <c r="B65" s="24" t="s">
        <v>296</v>
      </c>
      <c r="C65" s="46" t="s">
        <v>6</v>
      </c>
      <c r="D65" s="246"/>
      <c r="E65" s="246"/>
      <c r="F65" s="246"/>
      <c r="G65" s="247">
        <f>G63*G64/1000</f>
        <v>0</v>
      </c>
      <c r="H65" s="247">
        <f>H63*H64/1000</f>
        <v>0</v>
      </c>
      <c r="I65" s="519"/>
    </row>
    <row r="66" spans="1:9" ht="12.75" customHeight="1" x14ac:dyDescent="0.2">
      <c r="A66" s="629"/>
      <c r="B66" s="629"/>
      <c r="C66" s="629"/>
      <c r="D66" s="629"/>
      <c r="E66" s="629"/>
      <c r="F66" s="629"/>
      <c r="G66" s="629"/>
      <c r="H66" s="629"/>
      <c r="I66" s="16"/>
    </row>
    <row r="67" spans="1:9" ht="12.75" customHeight="1" x14ac:dyDescent="0.2">
      <c r="A67" s="22" t="s">
        <v>301</v>
      </c>
      <c r="B67" s="13" t="s">
        <v>166</v>
      </c>
      <c r="C67" s="199" t="str">
        <f>'B. Algandmed'!C161</f>
        <v>m³</v>
      </c>
      <c r="D67" s="52">
        <f>'B. Algandmed'!D161</f>
        <v>0</v>
      </c>
      <c r="E67" s="52">
        <f>'B. Algandmed'!E161</f>
        <v>0</v>
      </c>
      <c r="F67" s="52">
        <f>'B. Algandmed'!F161</f>
        <v>10</v>
      </c>
      <c r="G67" s="52">
        <f>'B. Algandmed'!G161</f>
        <v>30</v>
      </c>
      <c r="H67" s="52">
        <f>'B. Algandmed'!H161</f>
        <v>30</v>
      </c>
    </row>
    <row r="68" spans="1:9" ht="12.75" customHeight="1" x14ac:dyDescent="0.2">
      <c r="A68" s="22" t="s">
        <v>302</v>
      </c>
      <c r="B68" s="13" t="s">
        <v>167</v>
      </c>
      <c r="C68" s="12" t="str">
        <f>"€/"&amp;C67</f>
        <v>€/m³</v>
      </c>
      <c r="D68" s="52">
        <f>IF(D67=0,0,D69*1000/D67)</f>
        <v>0</v>
      </c>
      <c r="E68" s="52">
        <f>IF(E67=0,0,E69*1000/E67)</f>
        <v>0</v>
      </c>
      <c r="F68" s="52">
        <f>IF(F67=0,0,F69*1000/F67)</f>
        <v>0</v>
      </c>
      <c r="G68" s="58">
        <v>0</v>
      </c>
      <c r="H68" s="58">
        <v>0</v>
      </c>
    </row>
    <row r="69" spans="1:9" ht="12.75" customHeight="1" x14ac:dyDescent="0.2">
      <c r="A69" s="22" t="s">
        <v>303</v>
      </c>
      <c r="B69" s="27" t="s">
        <v>168</v>
      </c>
      <c r="C69" s="48" t="s">
        <v>6</v>
      </c>
      <c r="D69" s="249"/>
      <c r="E69" s="249"/>
      <c r="F69" s="249"/>
      <c r="G69" s="175">
        <f>G67*G68/1000</f>
        <v>0</v>
      </c>
      <c r="H69" s="175">
        <f>H67*H68/1000</f>
        <v>0</v>
      </c>
      <c r="I69" s="519"/>
    </row>
    <row r="70" spans="1:9" ht="12.75" customHeight="1" x14ac:dyDescent="0.2">
      <c r="A70" s="22"/>
      <c r="B70" s="27"/>
      <c r="C70" s="48"/>
      <c r="D70" s="175"/>
      <c r="E70" s="175"/>
      <c r="F70" s="175"/>
      <c r="G70" s="175"/>
      <c r="H70" s="175"/>
      <c r="I70" s="519"/>
    </row>
    <row r="71" spans="1:9" ht="12.75" customHeight="1" x14ac:dyDescent="0.2">
      <c r="A71" s="22" t="s">
        <v>602</v>
      </c>
      <c r="B71" s="139" t="s">
        <v>362</v>
      </c>
      <c r="C71" s="48" t="s">
        <v>6</v>
      </c>
      <c r="D71" s="249"/>
      <c r="E71" s="249"/>
      <c r="F71" s="249"/>
      <c r="G71" s="249"/>
      <c r="H71" s="249"/>
    </row>
    <row r="72" spans="1:9" ht="12.75" customHeight="1" x14ac:dyDescent="0.2">
      <c r="A72" s="22" t="s">
        <v>603</v>
      </c>
      <c r="B72" s="139" t="s">
        <v>362</v>
      </c>
      <c r="C72" s="48" t="s">
        <v>6</v>
      </c>
      <c r="D72" s="249"/>
      <c r="E72" s="249"/>
      <c r="F72" s="249"/>
      <c r="G72" s="249"/>
      <c r="H72" s="249"/>
    </row>
    <row r="73" spans="1:9" ht="12.75" customHeight="1" x14ac:dyDescent="0.2">
      <c r="A73" s="22" t="s">
        <v>304</v>
      </c>
      <c r="B73" s="24" t="s">
        <v>169</v>
      </c>
      <c r="C73" s="25" t="s">
        <v>6</v>
      </c>
      <c r="D73" s="247">
        <f>D65+D69+D71+D72</f>
        <v>0</v>
      </c>
      <c r="E73" s="247">
        <f>E65+E69+E71+E72</f>
        <v>0</v>
      </c>
      <c r="F73" s="247">
        <f>F65+F69+F71+F72</f>
        <v>0</v>
      </c>
      <c r="G73" s="247">
        <f>G65+G69+G71+G72</f>
        <v>0</v>
      </c>
      <c r="H73" s="247">
        <f>H65+H69+H71+H72</f>
        <v>0</v>
      </c>
    </row>
    <row r="74" spans="1:9" ht="12.75" customHeight="1" x14ac:dyDescent="0.2">
      <c r="A74" s="629"/>
      <c r="B74" s="629"/>
      <c r="C74" s="629"/>
      <c r="D74" s="629"/>
      <c r="E74" s="629"/>
      <c r="F74" s="629"/>
      <c r="G74" s="629"/>
      <c r="H74" s="629"/>
      <c r="I74" s="16"/>
    </row>
    <row r="75" spans="1:9" ht="15" x14ac:dyDescent="0.25">
      <c r="A75" s="29" t="s">
        <v>171</v>
      </c>
      <c r="B75" s="33" t="s">
        <v>172</v>
      </c>
      <c r="C75" s="49" t="s">
        <v>6</v>
      </c>
      <c r="D75" s="250">
        <f>D25+D44+D47+D50+D55+D60+D73</f>
        <v>114.221328</v>
      </c>
      <c r="E75" s="250">
        <f>E25+E44+E47+E50+E55+E60+E73</f>
        <v>220.74159</v>
      </c>
      <c r="F75" s="250">
        <f>F25+F44+F47+F50+F55+F60+F73</f>
        <v>193.83760999999998</v>
      </c>
      <c r="G75" s="250">
        <f>G25+G44+G47+G50+G55+G60+G73</f>
        <v>119.3299732</v>
      </c>
      <c r="H75" s="250">
        <f>H25+H44+H47+H50+H55+H60+H73</f>
        <v>117.1188451</v>
      </c>
      <c r="I75" s="522"/>
    </row>
    <row r="76" spans="1:9" s="15" customFormat="1" ht="15" x14ac:dyDescent="0.25">
      <c r="A76" s="23"/>
      <c r="B76" s="6"/>
      <c r="C76" s="9"/>
      <c r="D76" s="6"/>
      <c r="E76" s="6"/>
      <c r="F76" s="6"/>
      <c r="G76" s="6"/>
      <c r="H76" s="6"/>
      <c r="I76" s="6"/>
    </row>
    <row r="77" spans="1:9" ht="15" x14ac:dyDescent="0.25">
      <c r="A77" s="217" t="s">
        <v>559</v>
      </c>
    </row>
    <row r="78" spans="1:9" ht="15" x14ac:dyDescent="0.2">
      <c r="A78" s="221" t="s">
        <v>558</v>
      </c>
    </row>
    <row r="79" spans="1:9" ht="15" x14ac:dyDescent="0.2">
      <c r="A79" s="221" t="s">
        <v>560</v>
      </c>
    </row>
    <row r="80" spans="1:9" ht="48" customHeight="1" x14ac:dyDescent="0.2">
      <c r="A80" s="578" t="s">
        <v>579</v>
      </c>
      <c r="B80" s="578"/>
      <c r="C80" s="578"/>
      <c r="D80" s="578"/>
      <c r="E80" s="578"/>
      <c r="F80" s="578"/>
      <c r="G80" s="578"/>
      <c r="H80" s="578"/>
      <c r="I80" s="509"/>
    </row>
    <row r="81" spans="1:9" ht="15" x14ac:dyDescent="0.2">
      <c r="A81" s="222" t="s">
        <v>618</v>
      </c>
    </row>
    <row r="82" spans="1:9" ht="15" x14ac:dyDescent="0.2">
      <c r="A82" s="223" t="s">
        <v>619</v>
      </c>
    </row>
    <row r="83" spans="1:9" ht="15" x14ac:dyDescent="0.2">
      <c r="A83" s="223" t="s">
        <v>604</v>
      </c>
    </row>
    <row r="84" spans="1:9" ht="15" customHeight="1" x14ac:dyDescent="0.2">
      <c r="A84" s="579" t="s">
        <v>605</v>
      </c>
      <c r="B84" s="579"/>
      <c r="C84" s="579"/>
      <c r="D84" s="579"/>
      <c r="E84" s="579"/>
      <c r="F84" s="579"/>
      <c r="G84" s="579"/>
      <c r="H84" s="579"/>
      <c r="I84" s="510"/>
    </row>
    <row r="85" spans="1:9" ht="18.75" customHeight="1" x14ac:dyDescent="0.2">
      <c r="A85" s="579"/>
      <c r="B85" s="579"/>
      <c r="C85" s="579"/>
      <c r="D85" s="579"/>
      <c r="E85" s="579"/>
      <c r="F85" s="579"/>
      <c r="G85" s="579"/>
      <c r="H85" s="579"/>
      <c r="I85" s="510"/>
    </row>
    <row r="86" spans="1:9" x14ac:dyDescent="0.2">
      <c r="A86" s="23"/>
    </row>
    <row r="87" spans="1:9" x14ac:dyDescent="0.2">
      <c r="A87" s="41"/>
    </row>
    <row r="88" spans="1:9" x14ac:dyDescent="0.2">
      <c r="A88" s="41"/>
    </row>
  </sheetData>
  <mergeCells count="30">
    <mergeCell ref="A39:H39"/>
    <mergeCell ref="A43:H43"/>
    <mergeCell ref="A45:H45"/>
    <mergeCell ref="A84:H85"/>
    <mergeCell ref="B57:H57"/>
    <mergeCell ref="A61:H61"/>
    <mergeCell ref="B62:H62"/>
    <mergeCell ref="A66:H66"/>
    <mergeCell ref="A74:H74"/>
    <mergeCell ref="B46:H46"/>
    <mergeCell ref="A48:H48"/>
    <mergeCell ref="A51:H51"/>
    <mergeCell ref="B52:H52"/>
    <mergeCell ref="A56:H56"/>
    <mergeCell ref="A1:D1"/>
    <mergeCell ref="A2:D2"/>
    <mergeCell ref="A80:H80"/>
    <mergeCell ref="A5:H5"/>
    <mergeCell ref="A12:H12"/>
    <mergeCell ref="A18:H18"/>
    <mergeCell ref="A31:H31"/>
    <mergeCell ref="B49:H49"/>
    <mergeCell ref="A35:H35"/>
    <mergeCell ref="B6:H6"/>
    <mergeCell ref="B27:H27"/>
    <mergeCell ref="C7:H7"/>
    <mergeCell ref="C13:H13"/>
    <mergeCell ref="C19:H19"/>
    <mergeCell ref="A24:H24"/>
    <mergeCell ref="A26:H26"/>
  </mergeCells>
  <pageMargins left="0.78740157480314965" right="0" top="0.74803149606299213" bottom="0.74803149606299213" header="0.31496062992125984" footer="0.31496062992125984"/>
  <pageSetup paperSize="8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76"/>
  <sheetViews>
    <sheetView workbookViewId="0">
      <selection activeCell="L22" sqref="L22"/>
    </sheetView>
  </sheetViews>
  <sheetFormatPr defaultColWidth="9" defaultRowHeight="12.75" x14ac:dyDescent="0.2"/>
  <cols>
    <col min="1" max="1" width="5.75" style="23" customWidth="1"/>
    <col min="2" max="2" width="49.375" style="6" customWidth="1"/>
    <col min="3" max="3" width="9" style="9"/>
    <col min="4" max="4" width="12.25" style="6" customWidth="1"/>
    <col min="5" max="5" width="11.25" style="6" customWidth="1"/>
    <col min="6" max="6" width="11.875" style="6" customWidth="1"/>
    <col min="7" max="7" width="11" style="6" customWidth="1"/>
    <col min="8" max="8" width="10.875" style="6" customWidth="1"/>
    <col min="9" max="16384" width="9" style="6"/>
  </cols>
  <sheetData>
    <row r="2" spans="1:14" ht="18.75" x14ac:dyDescent="0.3">
      <c r="A2" s="108" t="s">
        <v>555</v>
      </c>
    </row>
    <row r="4" spans="1:14" ht="25.5" x14ac:dyDescent="0.2">
      <c r="A4" s="17" t="s">
        <v>177</v>
      </c>
      <c r="B4" s="3" t="s">
        <v>22</v>
      </c>
      <c r="C4" s="10" t="s">
        <v>0</v>
      </c>
      <c r="D4" s="11" t="s">
        <v>345</v>
      </c>
      <c r="E4" s="11" t="s">
        <v>346</v>
      </c>
      <c r="F4" s="11" t="s">
        <v>347</v>
      </c>
      <c r="G4" s="11" t="s">
        <v>329</v>
      </c>
      <c r="H4" s="11" t="s">
        <v>348</v>
      </c>
    </row>
    <row r="5" spans="1:14" ht="12.75" customHeight="1" x14ac:dyDescent="0.2">
      <c r="A5" s="12"/>
      <c r="B5" s="13" t="s">
        <v>329</v>
      </c>
      <c r="C5" s="12" t="s">
        <v>46</v>
      </c>
      <c r="D5" s="136" t="str">
        <f>'B. Algandmed'!$D$6</f>
        <v>2023</v>
      </c>
      <c r="E5" s="136" t="str">
        <f>'B. Algandmed'!$E$6</f>
        <v>2024</v>
      </c>
      <c r="F5" s="136" t="str">
        <f>'B. Algandmed'!$F$6</f>
        <v>2025</v>
      </c>
      <c r="G5" s="136" t="str">
        <f>'B. Algandmed'!$G$6</f>
        <v>2026</v>
      </c>
      <c r="H5" s="136" t="str">
        <f>'B. Algandmed'!$H$6</f>
        <v>2027</v>
      </c>
    </row>
    <row r="6" spans="1:14" ht="15" customHeight="1" x14ac:dyDescent="0.2">
      <c r="A6" s="629"/>
      <c r="B6" s="629"/>
      <c r="C6" s="629"/>
      <c r="D6" s="629"/>
      <c r="E6" s="629"/>
      <c r="F6" s="629"/>
      <c r="G6" s="629"/>
      <c r="H6" s="629"/>
      <c r="I6" s="505"/>
    </row>
    <row r="7" spans="1:14" s="131" customFormat="1" x14ac:dyDescent="0.2">
      <c r="A7" s="185">
        <v>1</v>
      </c>
      <c r="B7" s="704" t="s">
        <v>428</v>
      </c>
      <c r="C7" s="704"/>
      <c r="D7" s="704"/>
      <c r="E7" s="704"/>
      <c r="F7" s="704"/>
      <c r="G7" s="704"/>
      <c r="H7" s="704"/>
      <c r="N7" s="498"/>
    </row>
    <row r="8" spans="1:14" ht="24" customHeight="1" x14ac:dyDescent="0.2">
      <c r="A8" s="173" t="s">
        <v>48</v>
      </c>
      <c r="B8" s="172" t="s">
        <v>528</v>
      </c>
      <c r="C8" s="229" t="s">
        <v>6</v>
      </c>
      <c r="D8" s="230"/>
      <c r="E8" s="230"/>
      <c r="F8" s="230"/>
      <c r="G8" s="230"/>
      <c r="H8" s="230"/>
      <c r="N8" s="123"/>
    </row>
    <row r="9" spans="1:14" x14ac:dyDescent="0.2">
      <c r="A9" s="134" t="s">
        <v>52</v>
      </c>
      <c r="B9" s="135" t="s">
        <v>29</v>
      </c>
      <c r="C9" s="63" t="s">
        <v>6</v>
      </c>
      <c r="D9" s="58">
        <v>4.5395300000000001</v>
      </c>
      <c r="E9" s="58">
        <v>11.36</v>
      </c>
      <c r="F9" s="58">
        <v>6.4210000000000003</v>
      </c>
      <c r="G9" s="58">
        <v>2</v>
      </c>
      <c r="H9" s="58">
        <v>2</v>
      </c>
    </row>
    <row r="10" spans="1:14" x14ac:dyDescent="0.2">
      <c r="A10" s="134" t="s">
        <v>72</v>
      </c>
      <c r="B10" s="126" t="s">
        <v>286</v>
      </c>
      <c r="C10" s="63" t="s">
        <v>6</v>
      </c>
      <c r="D10" s="58">
        <v>6.6161599999999998</v>
      </c>
      <c r="E10" s="58">
        <v>8.6669999999999998</v>
      </c>
      <c r="F10" s="58">
        <v>13.532</v>
      </c>
      <c r="G10" s="58">
        <v>5</v>
      </c>
      <c r="H10" s="58">
        <v>5</v>
      </c>
    </row>
    <row r="11" spans="1:14" x14ac:dyDescent="0.2">
      <c r="A11" s="134" t="s">
        <v>82</v>
      </c>
      <c r="B11" s="126" t="s">
        <v>682</v>
      </c>
      <c r="C11" s="63" t="s">
        <v>6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</row>
    <row r="12" spans="1:14" x14ac:dyDescent="0.2">
      <c r="A12" s="134" t="s">
        <v>240</v>
      </c>
      <c r="B12" s="126" t="s">
        <v>849</v>
      </c>
      <c r="C12" s="63" t="s">
        <v>6</v>
      </c>
      <c r="D12" s="58">
        <v>0.47499999999999998</v>
      </c>
      <c r="E12" s="58">
        <v>0.47499999999999998</v>
      </c>
      <c r="F12" s="58">
        <v>0.27700000000000002</v>
      </c>
      <c r="G12" s="58">
        <v>0.71499999999999997</v>
      </c>
      <c r="H12" s="58">
        <v>0.71499999999999997</v>
      </c>
    </row>
    <row r="13" spans="1:14" s="131" customFormat="1" x14ac:dyDescent="0.2">
      <c r="A13" s="183" t="s">
        <v>89</v>
      </c>
      <c r="B13" s="184" t="s">
        <v>287</v>
      </c>
      <c r="C13" s="174" t="s">
        <v>6</v>
      </c>
      <c r="D13" s="175">
        <f>SUM(D8:D12)</f>
        <v>11.63069</v>
      </c>
      <c r="E13" s="175">
        <f>SUM(E8:E12)</f>
        <v>20.502000000000002</v>
      </c>
      <c r="F13" s="175">
        <f>SUM(F8:F12)</f>
        <v>20.23</v>
      </c>
      <c r="G13" s="175">
        <f>SUM(G8:G12)</f>
        <v>7.7149999999999999</v>
      </c>
      <c r="H13" s="175">
        <f>SUM(H8:H12)</f>
        <v>7.7149999999999999</v>
      </c>
      <c r="I13" s="6"/>
    </row>
    <row r="14" spans="1:14" x14ac:dyDescent="0.2">
      <c r="A14" s="709"/>
      <c r="B14" s="709"/>
      <c r="C14" s="709"/>
      <c r="D14" s="709"/>
      <c r="E14" s="709"/>
      <c r="F14" s="709"/>
      <c r="G14" s="709"/>
      <c r="H14" s="709"/>
    </row>
    <row r="15" spans="1:14" s="131" customFormat="1" x14ac:dyDescent="0.2">
      <c r="A15" s="187" t="s">
        <v>91</v>
      </c>
      <c r="B15" s="710" t="s">
        <v>429</v>
      </c>
      <c r="C15" s="710"/>
      <c r="D15" s="710"/>
      <c r="E15" s="710"/>
      <c r="F15" s="710"/>
      <c r="G15" s="710"/>
      <c r="H15" s="710"/>
      <c r="K15" s="6"/>
    </row>
    <row r="16" spans="1:14" x14ac:dyDescent="0.2">
      <c r="A16" s="22" t="s">
        <v>92</v>
      </c>
      <c r="B16" s="62" t="s">
        <v>203</v>
      </c>
      <c r="C16" s="176" t="s">
        <v>6</v>
      </c>
      <c r="D16" s="177"/>
      <c r="E16" s="177"/>
      <c r="F16" s="177"/>
      <c r="G16" s="177"/>
      <c r="H16" s="177"/>
    </row>
    <row r="17" spans="1:9" x14ac:dyDescent="0.2">
      <c r="A17" s="22" t="s">
        <v>94</v>
      </c>
      <c r="B17" s="62" t="s">
        <v>202</v>
      </c>
      <c r="C17" s="63" t="s">
        <v>6</v>
      </c>
      <c r="D17" s="58"/>
      <c r="E17" s="58"/>
      <c r="F17" s="58"/>
      <c r="G17" s="58"/>
      <c r="H17" s="58"/>
    </row>
    <row r="18" spans="1:9" x14ac:dyDescent="0.2">
      <c r="A18" s="22" t="s">
        <v>139</v>
      </c>
      <c r="B18" s="62" t="s">
        <v>27</v>
      </c>
      <c r="C18" s="63" t="s">
        <v>6</v>
      </c>
      <c r="D18" s="58"/>
      <c r="E18" s="58"/>
      <c r="F18" s="58"/>
      <c r="G18" s="58"/>
      <c r="H18" s="58"/>
    </row>
    <row r="19" spans="1:9" x14ac:dyDescent="0.2">
      <c r="A19" s="22" t="s">
        <v>223</v>
      </c>
      <c r="B19" s="135" t="s">
        <v>361</v>
      </c>
      <c r="C19" s="63" t="s">
        <v>6</v>
      </c>
      <c r="D19" s="58"/>
      <c r="E19" s="58"/>
      <c r="F19" s="58"/>
      <c r="G19" s="58"/>
      <c r="H19" s="58"/>
    </row>
    <row r="20" spans="1:9" x14ac:dyDescent="0.2">
      <c r="A20" s="22" t="s">
        <v>224</v>
      </c>
      <c r="B20" s="139" t="s">
        <v>362</v>
      </c>
      <c r="C20" s="63" t="s">
        <v>6</v>
      </c>
      <c r="D20" s="109"/>
      <c r="E20" s="109"/>
      <c r="F20" s="109"/>
      <c r="G20" s="109"/>
      <c r="H20" s="109"/>
    </row>
    <row r="21" spans="1:9" x14ac:dyDescent="0.2">
      <c r="A21" s="22" t="s">
        <v>225</v>
      </c>
      <c r="B21" s="139" t="s">
        <v>362</v>
      </c>
      <c r="C21" s="63" t="s">
        <v>6</v>
      </c>
      <c r="D21" s="109"/>
      <c r="E21" s="109"/>
      <c r="F21" s="109"/>
      <c r="G21" s="109"/>
      <c r="H21" s="109"/>
    </row>
    <row r="22" spans="1:9" x14ac:dyDescent="0.2">
      <c r="A22" s="22" t="s">
        <v>226</v>
      </c>
      <c r="B22" s="139" t="s">
        <v>362</v>
      </c>
      <c r="C22" s="63" t="s">
        <v>6</v>
      </c>
      <c r="D22" s="109"/>
      <c r="E22" s="109"/>
      <c r="F22" s="109"/>
      <c r="G22" s="109"/>
      <c r="H22" s="109"/>
    </row>
    <row r="23" spans="1:9" x14ac:dyDescent="0.2">
      <c r="A23" s="22" t="s">
        <v>227</v>
      </c>
      <c r="B23" s="139" t="s">
        <v>362</v>
      </c>
      <c r="C23" s="63" t="s">
        <v>6</v>
      </c>
      <c r="D23" s="109"/>
      <c r="E23" s="109"/>
      <c r="F23" s="109"/>
      <c r="G23" s="109"/>
      <c r="H23" s="109"/>
    </row>
    <row r="24" spans="1:9" x14ac:dyDescent="0.2">
      <c r="A24" s="22" t="s">
        <v>228</v>
      </c>
      <c r="B24" s="139" t="s">
        <v>362</v>
      </c>
      <c r="C24" s="63" t="s">
        <v>6</v>
      </c>
      <c r="D24" s="109"/>
      <c r="E24" s="109"/>
      <c r="F24" s="109"/>
      <c r="G24" s="109"/>
      <c r="H24" s="109"/>
    </row>
    <row r="25" spans="1:9" s="131" customFormat="1" x14ac:dyDescent="0.2">
      <c r="A25" s="182" t="s">
        <v>141</v>
      </c>
      <c r="B25" s="178" t="s">
        <v>28</v>
      </c>
      <c r="C25" s="174" t="s">
        <v>6</v>
      </c>
      <c r="D25" s="175">
        <f>SUM(D16:D24)</f>
        <v>0</v>
      </c>
      <c r="E25" s="175">
        <f>SUM(E16:E24)</f>
        <v>0</v>
      </c>
      <c r="F25" s="175">
        <f>SUM(F16:F24)</f>
        <v>0</v>
      </c>
      <c r="G25" s="175">
        <f>SUM(G16:G24)</f>
        <v>0</v>
      </c>
      <c r="H25" s="175">
        <f>SUM(H16:H24)</f>
        <v>0</v>
      </c>
    </row>
    <row r="26" spans="1:9" x14ac:dyDescent="0.2">
      <c r="A26" s="629"/>
      <c r="B26" s="629"/>
      <c r="C26" s="629"/>
      <c r="D26" s="629"/>
      <c r="E26" s="629"/>
      <c r="F26" s="629"/>
      <c r="G26" s="629"/>
      <c r="H26" s="629"/>
    </row>
    <row r="27" spans="1:9" s="131" customFormat="1" x14ac:dyDescent="0.2">
      <c r="A27" s="179" t="s">
        <v>97</v>
      </c>
      <c r="B27" s="180" t="s">
        <v>344</v>
      </c>
      <c r="C27" s="181" t="s">
        <v>6</v>
      </c>
      <c r="D27" s="252"/>
      <c r="E27" s="252"/>
      <c r="F27" s="252"/>
      <c r="G27" s="252"/>
      <c r="H27" s="252"/>
    </row>
    <row r="28" spans="1:9" x14ac:dyDescent="0.2">
      <c r="A28" s="629"/>
      <c r="B28" s="629"/>
      <c r="C28" s="629"/>
      <c r="D28" s="629"/>
      <c r="E28" s="629"/>
      <c r="F28" s="629"/>
      <c r="G28" s="629"/>
      <c r="H28" s="629"/>
    </row>
    <row r="29" spans="1:9" s="131" customFormat="1" x14ac:dyDescent="0.2">
      <c r="A29" s="186" t="s">
        <v>115</v>
      </c>
      <c r="B29" s="704" t="s">
        <v>430</v>
      </c>
      <c r="C29" s="704"/>
      <c r="D29" s="704"/>
      <c r="E29" s="704"/>
      <c r="F29" s="704"/>
      <c r="G29" s="704"/>
      <c r="H29" s="704"/>
      <c r="I29" s="6"/>
    </row>
    <row r="30" spans="1:9" x14ac:dyDescent="0.2">
      <c r="A30" s="22" t="s">
        <v>117</v>
      </c>
      <c r="B30" s="13" t="s">
        <v>684</v>
      </c>
      <c r="C30" s="176" t="s">
        <v>6</v>
      </c>
      <c r="D30" s="177"/>
      <c r="E30" s="177"/>
      <c r="F30" s="177"/>
      <c r="G30" s="177">
        <v>3</v>
      </c>
      <c r="H30" s="177">
        <v>3</v>
      </c>
    </row>
    <row r="31" spans="1:9" x14ac:dyDescent="0.2">
      <c r="A31" s="22" t="s">
        <v>120</v>
      </c>
      <c r="B31" s="62" t="s">
        <v>29</v>
      </c>
      <c r="C31" s="63" t="s">
        <v>6</v>
      </c>
      <c r="D31" s="58"/>
      <c r="E31" s="58"/>
      <c r="F31" s="58"/>
      <c r="G31" s="58"/>
      <c r="H31" s="58"/>
    </row>
    <row r="32" spans="1:9" x14ac:dyDescent="0.2">
      <c r="A32" s="22" t="s">
        <v>121</v>
      </c>
      <c r="B32" s="13" t="s">
        <v>286</v>
      </c>
      <c r="C32" s="63" t="s">
        <v>6</v>
      </c>
      <c r="D32" s="58"/>
      <c r="E32" s="58"/>
      <c r="F32" s="58"/>
      <c r="G32" s="58"/>
      <c r="H32" s="58"/>
    </row>
    <row r="33" spans="1:10" x14ac:dyDescent="0.2">
      <c r="A33" s="22" t="s">
        <v>122</v>
      </c>
      <c r="B33" s="13" t="s">
        <v>682</v>
      </c>
      <c r="C33" s="63" t="s">
        <v>6</v>
      </c>
      <c r="D33" s="58"/>
      <c r="E33" s="58"/>
      <c r="F33" s="58"/>
      <c r="G33" s="58"/>
      <c r="H33" s="58"/>
    </row>
    <row r="34" spans="1:10" x14ac:dyDescent="0.2">
      <c r="A34" s="22" t="s">
        <v>123</v>
      </c>
      <c r="B34" s="13" t="s">
        <v>850</v>
      </c>
      <c r="C34" s="63" t="s">
        <v>6</v>
      </c>
      <c r="D34" s="58">
        <v>9.9600000000000009</v>
      </c>
      <c r="E34" s="58"/>
      <c r="F34" s="58"/>
      <c r="G34" s="58"/>
      <c r="H34" s="58"/>
    </row>
    <row r="35" spans="1:10" s="131" customFormat="1" x14ac:dyDescent="0.2">
      <c r="A35" s="182" t="s">
        <v>150</v>
      </c>
      <c r="B35" s="178" t="s">
        <v>288</v>
      </c>
      <c r="C35" s="174" t="s">
        <v>6</v>
      </c>
      <c r="D35" s="175">
        <f>SUM(D30:D34)</f>
        <v>9.9600000000000009</v>
      </c>
      <c r="E35" s="175">
        <f>SUM(E30:E34)</f>
        <v>0</v>
      </c>
      <c r="F35" s="175">
        <f>SUM(F30:F34)</f>
        <v>0</v>
      </c>
      <c r="G35" s="175">
        <f>SUM(G30:G34)</f>
        <v>3</v>
      </c>
      <c r="H35" s="175">
        <f>SUM(H30:H34)</f>
        <v>3</v>
      </c>
      <c r="I35" s="6"/>
    </row>
    <row r="36" spans="1:10" x14ac:dyDescent="0.2">
      <c r="A36" s="629"/>
      <c r="B36" s="629"/>
      <c r="C36" s="629"/>
      <c r="D36" s="629"/>
      <c r="E36" s="629"/>
      <c r="F36" s="629"/>
      <c r="G36" s="629"/>
      <c r="H36" s="629"/>
    </row>
    <row r="37" spans="1:10" s="131" customFormat="1" x14ac:dyDescent="0.2">
      <c r="A37" s="179" t="s">
        <v>125</v>
      </c>
      <c r="B37" s="705" t="s">
        <v>431</v>
      </c>
      <c r="C37" s="706"/>
      <c r="D37" s="706"/>
      <c r="E37" s="706"/>
      <c r="F37" s="706"/>
      <c r="G37" s="706"/>
      <c r="H37" s="707"/>
      <c r="I37" s="6"/>
    </row>
    <row r="38" spans="1:10" x14ac:dyDescent="0.2">
      <c r="A38" s="22" t="s">
        <v>156</v>
      </c>
      <c r="B38" s="62" t="s">
        <v>203</v>
      </c>
      <c r="C38" s="176" t="s">
        <v>6</v>
      </c>
      <c r="D38" s="177"/>
      <c r="E38" s="177"/>
      <c r="F38" s="177"/>
      <c r="G38" s="177"/>
      <c r="H38" s="177"/>
    </row>
    <row r="39" spans="1:10" x14ac:dyDescent="0.2">
      <c r="A39" s="22" t="s">
        <v>157</v>
      </c>
      <c r="B39" s="62" t="s">
        <v>202</v>
      </c>
      <c r="C39" s="63" t="s">
        <v>6</v>
      </c>
      <c r="D39" s="58"/>
      <c r="E39" s="58"/>
      <c r="F39" s="58"/>
      <c r="G39" s="58"/>
      <c r="H39" s="58"/>
    </row>
    <row r="40" spans="1:10" x14ac:dyDescent="0.2">
      <c r="A40" s="22" t="s">
        <v>213</v>
      </c>
      <c r="B40" s="62" t="s">
        <v>27</v>
      </c>
      <c r="C40" s="63" t="s">
        <v>6</v>
      </c>
      <c r="D40" s="58">
        <v>1.145</v>
      </c>
      <c r="E40" s="58">
        <v>1.3440000000000001</v>
      </c>
      <c r="F40" s="58">
        <v>1.38</v>
      </c>
      <c r="G40" s="58">
        <v>1.4</v>
      </c>
      <c r="H40" s="58">
        <v>1.4</v>
      </c>
    </row>
    <row r="41" spans="1:10" x14ac:dyDescent="0.2">
      <c r="A41" s="22" t="s">
        <v>214</v>
      </c>
      <c r="B41" s="135" t="s">
        <v>361</v>
      </c>
      <c r="C41" s="63" t="s">
        <v>6</v>
      </c>
      <c r="D41" s="58"/>
      <c r="E41" s="58"/>
      <c r="F41" s="58"/>
      <c r="G41" s="58"/>
      <c r="H41" s="58"/>
    </row>
    <row r="42" spans="1:10" x14ac:dyDescent="0.2">
      <c r="A42" s="22" t="s">
        <v>215</v>
      </c>
      <c r="B42" s="135" t="s">
        <v>363</v>
      </c>
      <c r="C42" s="63" t="s">
        <v>6</v>
      </c>
      <c r="D42" s="109"/>
      <c r="E42" s="109"/>
      <c r="F42" s="109"/>
      <c r="G42" s="109"/>
      <c r="H42" s="109"/>
    </row>
    <row r="43" spans="1:10" x14ac:dyDescent="0.2">
      <c r="A43" s="22" t="s">
        <v>374</v>
      </c>
      <c r="B43" s="507" t="s">
        <v>851</v>
      </c>
      <c r="C43" s="63" t="s">
        <v>6</v>
      </c>
      <c r="D43" s="109"/>
      <c r="E43" s="109"/>
      <c r="F43" s="109">
        <v>1.6</v>
      </c>
      <c r="G43" s="109">
        <v>1.6</v>
      </c>
      <c r="H43" s="109">
        <v>1.6</v>
      </c>
    </row>
    <row r="44" spans="1:10" x14ac:dyDescent="0.2">
      <c r="A44" s="22" t="s">
        <v>375</v>
      </c>
      <c r="B44" s="139" t="s">
        <v>362</v>
      </c>
      <c r="C44" s="63" t="s">
        <v>6</v>
      </c>
      <c r="D44" s="109"/>
      <c r="E44" s="109"/>
      <c r="F44" s="109"/>
      <c r="G44" s="109"/>
      <c r="H44" s="109"/>
    </row>
    <row r="45" spans="1:10" x14ac:dyDescent="0.2">
      <c r="A45" s="22" t="s">
        <v>216</v>
      </c>
      <c r="B45" s="139" t="s">
        <v>362</v>
      </c>
      <c r="C45" s="63" t="s">
        <v>6</v>
      </c>
      <c r="D45" s="109"/>
      <c r="E45" s="109"/>
      <c r="F45" s="109"/>
      <c r="G45" s="109"/>
      <c r="H45" s="109"/>
    </row>
    <row r="46" spans="1:10" x14ac:dyDescent="0.2">
      <c r="A46" s="22" t="s">
        <v>305</v>
      </c>
      <c r="B46" s="139" t="s">
        <v>362</v>
      </c>
      <c r="C46" s="63" t="s">
        <v>6</v>
      </c>
      <c r="D46" s="109"/>
      <c r="E46" s="109"/>
      <c r="F46" s="109"/>
      <c r="G46" s="109"/>
      <c r="H46" s="109"/>
    </row>
    <row r="47" spans="1:10" x14ac:dyDescent="0.2">
      <c r="A47" s="22" t="s">
        <v>306</v>
      </c>
      <c r="B47" s="139" t="s">
        <v>362</v>
      </c>
      <c r="C47" s="63" t="s">
        <v>6</v>
      </c>
      <c r="D47" s="109"/>
      <c r="E47" s="109"/>
      <c r="F47" s="109"/>
      <c r="G47" s="109"/>
      <c r="H47" s="109"/>
    </row>
    <row r="48" spans="1:10" s="131" customFormat="1" x14ac:dyDescent="0.2">
      <c r="A48" s="182" t="s">
        <v>158</v>
      </c>
      <c r="B48" s="178" t="s">
        <v>28</v>
      </c>
      <c r="C48" s="174" t="s">
        <v>6</v>
      </c>
      <c r="D48" s="175">
        <f>SUM(D38:D47)</f>
        <v>1.145</v>
      </c>
      <c r="E48" s="175">
        <f>SUM(E38:E47)</f>
        <v>1.3440000000000001</v>
      </c>
      <c r="F48" s="175">
        <f>SUM(F38:F47)</f>
        <v>2.98</v>
      </c>
      <c r="G48" s="175">
        <f>SUM(G38:G47)</f>
        <v>3</v>
      </c>
      <c r="H48" s="175">
        <f>SUM(H38:H47)</f>
        <v>3</v>
      </c>
      <c r="I48" s="6"/>
      <c r="J48" s="6"/>
    </row>
    <row r="49" spans="1:10" x14ac:dyDescent="0.2">
      <c r="A49" s="708"/>
      <c r="B49" s="708"/>
      <c r="C49" s="708"/>
      <c r="D49" s="708"/>
      <c r="E49" s="708"/>
      <c r="F49" s="708"/>
      <c r="G49" s="708"/>
      <c r="H49" s="708"/>
    </row>
    <row r="50" spans="1:10" s="131" customFormat="1" x14ac:dyDescent="0.2">
      <c r="A50" s="187" t="s">
        <v>164</v>
      </c>
      <c r="B50" s="191" t="s">
        <v>685</v>
      </c>
      <c r="C50" s="231" t="s">
        <v>6</v>
      </c>
      <c r="D50" s="246">
        <v>12.051</v>
      </c>
      <c r="E50" s="246">
        <v>15.859</v>
      </c>
      <c r="F50" s="246">
        <v>19.189</v>
      </c>
      <c r="G50" s="246">
        <v>20</v>
      </c>
      <c r="H50" s="246">
        <v>21</v>
      </c>
      <c r="I50" s="6"/>
      <c r="J50" s="6"/>
    </row>
    <row r="51" spans="1:10" s="131" customFormat="1" x14ac:dyDescent="0.2">
      <c r="A51" s="697"/>
      <c r="B51" s="697"/>
      <c r="C51" s="697"/>
      <c r="D51" s="697"/>
      <c r="E51" s="697"/>
      <c r="F51" s="697"/>
      <c r="G51" s="697"/>
      <c r="H51" s="697"/>
      <c r="I51" s="6"/>
      <c r="J51" s="6"/>
    </row>
    <row r="52" spans="1:10" s="131" customFormat="1" x14ac:dyDescent="0.2">
      <c r="A52" s="187" t="s">
        <v>217</v>
      </c>
      <c r="B52" s="698" t="s">
        <v>590</v>
      </c>
      <c r="C52" s="699"/>
      <c r="D52" s="699"/>
      <c r="E52" s="699"/>
      <c r="F52" s="699"/>
      <c r="G52" s="699"/>
      <c r="H52" s="700"/>
    </row>
    <row r="53" spans="1:10" ht="15.75" customHeight="1" x14ac:dyDescent="0.2">
      <c r="A53" s="22" t="s">
        <v>591</v>
      </c>
      <c r="B53" s="139" t="s">
        <v>362</v>
      </c>
      <c r="C53" s="63" t="s">
        <v>6</v>
      </c>
      <c r="D53" s="109"/>
      <c r="E53" s="109"/>
      <c r="F53" s="109"/>
      <c r="G53" s="701"/>
      <c r="H53" s="701"/>
    </row>
    <row r="54" spans="1:10" x14ac:dyDescent="0.2">
      <c r="A54" s="22" t="s">
        <v>592</v>
      </c>
      <c r="B54" s="139" t="s">
        <v>362</v>
      </c>
      <c r="C54" s="63" t="s">
        <v>6</v>
      </c>
      <c r="D54" s="109"/>
      <c r="E54" s="109"/>
      <c r="F54" s="109"/>
      <c r="G54" s="702"/>
      <c r="H54" s="702"/>
      <c r="I54" s="256"/>
      <c r="J54" s="256"/>
    </row>
    <row r="55" spans="1:10" x14ac:dyDescent="0.2">
      <c r="A55" s="22" t="s">
        <v>593</v>
      </c>
      <c r="B55" s="139" t="s">
        <v>362</v>
      </c>
      <c r="C55" s="63" t="s">
        <v>6</v>
      </c>
      <c r="D55" s="109"/>
      <c r="E55" s="109"/>
      <c r="F55" s="109"/>
      <c r="G55" s="702"/>
      <c r="H55" s="702"/>
    </row>
    <row r="56" spans="1:10" x14ac:dyDescent="0.2">
      <c r="A56" s="22" t="s">
        <v>594</v>
      </c>
      <c r="B56" s="139" t="s">
        <v>362</v>
      </c>
      <c r="C56" s="63" t="s">
        <v>6</v>
      </c>
      <c r="D56" s="109"/>
      <c r="E56" s="109"/>
      <c r="F56" s="109"/>
      <c r="G56" s="702"/>
      <c r="H56" s="702"/>
    </row>
    <row r="57" spans="1:10" s="131" customFormat="1" x14ac:dyDescent="0.2">
      <c r="A57" s="182" t="s">
        <v>304</v>
      </c>
      <c r="B57" s="178" t="s">
        <v>595</v>
      </c>
      <c r="C57" s="174" t="s">
        <v>6</v>
      </c>
      <c r="D57" s="175">
        <f>SUM(D53:D56)</f>
        <v>0</v>
      </c>
      <c r="E57" s="175">
        <f>SUM(E53:E56)</f>
        <v>0</v>
      </c>
      <c r="F57" s="175">
        <f>SUM(F53:F56)</f>
        <v>0</v>
      </c>
      <c r="G57" s="703"/>
      <c r="H57" s="703"/>
    </row>
    <row r="58" spans="1:10" x14ac:dyDescent="0.2">
      <c r="A58" s="629"/>
      <c r="B58" s="629"/>
      <c r="C58" s="629"/>
      <c r="D58" s="629"/>
      <c r="E58" s="629"/>
      <c r="F58" s="629"/>
      <c r="G58" s="629"/>
      <c r="H58" s="629"/>
    </row>
    <row r="59" spans="1:10" s="256" customFormat="1" ht="14.25" x14ac:dyDescent="0.25">
      <c r="A59" s="253" t="s">
        <v>171</v>
      </c>
      <c r="B59" s="254" t="s">
        <v>683</v>
      </c>
      <c r="C59" s="255" t="s">
        <v>6</v>
      </c>
      <c r="D59" s="257">
        <f>D13+D25+D27+D35+D48+D50+D57</f>
        <v>34.78669</v>
      </c>
      <c r="E59" s="257">
        <f>E13+E25+E27+E35+E48+E50+E57</f>
        <v>37.705000000000005</v>
      </c>
      <c r="F59" s="257">
        <f>F13+F25+F27+F35+F48+F50+F57</f>
        <v>42.399000000000001</v>
      </c>
      <c r="G59" s="257">
        <f>G13+G25+G27+G35+G48+G50</f>
        <v>33.715000000000003</v>
      </c>
      <c r="H59" s="257">
        <f>H13+H25+H27+H35+H48+H50</f>
        <v>34.715000000000003</v>
      </c>
    </row>
    <row r="60" spans="1:10" x14ac:dyDescent="0.2">
      <c r="A60" s="609"/>
      <c r="B60" s="609"/>
      <c r="C60" s="609"/>
      <c r="D60" s="609"/>
      <c r="E60" s="609"/>
      <c r="F60" s="609"/>
      <c r="G60" s="609"/>
      <c r="H60" s="609"/>
    </row>
    <row r="61" spans="1:10" s="131" customFormat="1" x14ac:dyDescent="0.2">
      <c r="A61" s="187" t="s">
        <v>199</v>
      </c>
      <c r="B61" s="251" t="s">
        <v>601</v>
      </c>
      <c r="C61" s="242" t="s">
        <v>6</v>
      </c>
      <c r="D61" s="195">
        <f>D59-D57</f>
        <v>34.78669</v>
      </c>
      <c r="E61" s="195">
        <f>E59-E57</f>
        <v>37.705000000000005</v>
      </c>
      <c r="F61" s="195">
        <f>F59-F57</f>
        <v>42.399000000000001</v>
      </c>
      <c r="G61" s="195">
        <f>G59</f>
        <v>33.715000000000003</v>
      </c>
      <c r="H61" s="195">
        <f>H59</f>
        <v>34.715000000000003</v>
      </c>
    </row>
    <row r="62" spans="1:10" x14ac:dyDescent="0.2">
      <c r="A62" s="22" t="s">
        <v>201</v>
      </c>
      <c r="B62" s="13" t="s">
        <v>112</v>
      </c>
      <c r="C62" s="12" t="s">
        <v>1</v>
      </c>
      <c r="D62" s="62">
        <f>'B. Algandmed'!D141</f>
        <v>2471.0259999999998</v>
      </c>
      <c r="E62" s="62">
        <f>'B. Algandmed'!E141</f>
        <v>2304.192</v>
      </c>
      <c r="F62" s="62">
        <f>'B. Algandmed'!F141</f>
        <v>2435.5187999999998</v>
      </c>
      <c r="G62" s="62">
        <f>'B. Algandmed'!G141</f>
        <v>3050</v>
      </c>
      <c r="H62" s="62">
        <f>'B. Algandmed'!H141</f>
        <v>3050</v>
      </c>
    </row>
    <row r="63" spans="1:10" s="131" customFormat="1" x14ac:dyDescent="0.2">
      <c r="A63" s="187" t="s">
        <v>241</v>
      </c>
      <c r="B63" s="24" t="s">
        <v>289</v>
      </c>
      <c r="C63" s="25" t="s">
        <v>11</v>
      </c>
      <c r="D63" s="247">
        <f>IF(D62=0,0,(D59-D57)*1000/D62)</f>
        <v>14.077832446926905</v>
      </c>
      <c r="E63" s="247">
        <f>IF(E62=0,0,(E59-E57)*1000/E62)</f>
        <v>16.363653723300839</v>
      </c>
      <c r="F63" s="247">
        <f>IF(F62=0,0,(F59-F57)*1000/F62)</f>
        <v>17.408611257691792</v>
      </c>
      <c r="G63" s="247">
        <f>IF(G62=0,0,G59*1000/G62)</f>
        <v>11.054098360655738</v>
      </c>
      <c r="H63" s="247">
        <f>IF(H62=0,0,H59*1000/H62)</f>
        <v>11.381967213114754</v>
      </c>
    </row>
    <row r="65" spans="1:8" ht="14.25" x14ac:dyDescent="0.2">
      <c r="A65" s="233" t="s">
        <v>581</v>
      </c>
      <c r="B65" s="131"/>
    </row>
    <row r="66" spans="1:8" ht="15" x14ac:dyDescent="0.25">
      <c r="A66" s="217" t="s">
        <v>582</v>
      </c>
      <c r="B66" s="217"/>
      <c r="C66" s="217"/>
      <c r="D66" s="217"/>
      <c r="E66" s="217"/>
      <c r="F66" s="217"/>
      <c r="G66" s="217"/>
      <c r="H66" s="217"/>
    </row>
    <row r="67" spans="1:8" ht="15" x14ac:dyDescent="0.25">
      <c r="A67" s="217" t="s">
        <v>583</v>
      </c>
      <c r="B67" s="217"/>
      <c r="C67" s="217"/>
      <c r="D67" s="217"/>
      <c r="E67" s="217"/>
      <c r="F67" s="217"/>
      <c r="G67" s="217"/>
      <c r="H67" s="217"/>
    </row>
    <row r="68" spans="1:8" ht="15.75" customHeight="1" x14ac:dyDescent="0.25">
      <c r="A68" s="217" t="s">
        <v>587</v>
      </c>
      <c r="B68" s="217"/>
      <c r="C68" s="217"/>
      <c r="D68" s="217"/>
      <c r="E68" s="217"/>
      <c r="F68" s="217"/>
      <c r="G68" s="217"/>
      <c r="H68" s="217"/>
    </row>
    <row r="69" spans="1:8" ht="15" x14ac:dyDescent="0.25">
      <c r="A69" s="217" t="s">
        <v>584</v>
      </c>
      <c r="B69" s="217"/>
      <c r="C69" s="217"/>
      <c r="D69" s="217"/>
      <c r="E69" s="217"/>
      <c r="F69" s="217"/>
      <c r="G69" s="217"/>
      <c r="H69" s="217"/>
    </row>
    <row r="70" spans="1:8" ht="15" x14ac:dyDescent="0.25">
      <c r="A70" s="217" t="s">
        <v>598</v>
      </c>
      <c r="B70" s="217"/>
      <c r="C70" s="217"/>
      <c r="D70" s="217"/>
      <c r="E70" s="217"/>
      <c r="F70" s="217"/>
      <c r="G70" s="217"/>
      <c r="H70" s="217"/>
    </row>
    <row r="71" spans="1:8" ht="15.75" x14ac:dyDescent="0.25">
      <c r="A71" s="217" t="s">
        <v>589</v>
      </c>
      <c r="B71" s="217"/>
      <c r="C71" s="217"/>
      <c r="D71" s="217"/>
      <c r="E71" s="217"/>
      <c r="F71" s="217"/>
      <c r="G71" s="217"/>
      <c r="H71" s="217"/>
    </row>
    <row r="72" spans="1:8" ht="15" x14ac:dyDescent="0.25">
      <c r="A72" s="217" t="s">
        <v>585</v>
      </c>
      <c r="B72" s="217"/>
      <c r="C72" s="217"/>
      <c r="D72" s="217"/>
      <c r="E72" s="217"/>
      <c r="F72" s="217"/>
      <c r="G72" s="217"/>
      <c r="H72" s="217"/>
    </row>
    <row r="73" spans="1:8" ht="15.75" x14ac:dyDescent="0.25">
      <c r="A73" s="217" t="s">
        <v>588</v>
      </c>
      <c r="B73" s="217"/>
      <c r="C73" s="217"/>
      <c r="D73" s="217"/>
      <c r="E73" s="217"/>
      <c r="F73" s="217"/>
      <c r="G73" s="217"/>
      <c r="H73" s="217"/>
    </row>
    <row r="74" spans="1:8" ht="15" x14ac:dyDescent="0.25">
      <c r="A74" s="217" t="s">
        <v>586</v>
      </c>
      <c r="B74" s="217"/>
      <c r="C74" s="217"/>
      <c r="D74" s="217"/>
      <c r="E74" s="217"/>
      <c r="F74" s="217"/>
      <c r="G74" s="217"/>
      <c r="H74" s="217"/>
    </row>
    <row r="75" spans="1:8" ht="15.75" x14ac:dyDescent="0.25">
      <c r="A75"/>
    </row>
    <row r="76" spans="1:8" ht="15.75" x14ac:dyDescent="0.2">
      <c r="A76" s="232"/>
    </row>
  </sheetData>
  <mergeCells count="16">
    <mergeCell ref="B29:H29"/>
    <mergeCell ref="A36:H36"/>
    <mergeCell ref="B37:H37"/>
    <mergeCell ref="A49:H49"/>
    <mergeCell ref="A6:H6"/>
    <mergeCell ref="B7:H7"/>
    <mergeCell ref="A14:H14"/>
    <mergeCell ref="B15:H15"/>
    <mergeCell ref="A26:H26"/>
    <mergeCell ref="A28:H28"/>
    <mergeCell ref="A51:H51"/>
    <mergeCell ref="B52:H52"/>
    <mergeCell ref="A58:H58"/>
    <mergeCell ref="A60:H60"/>
    <mergeCell ref="G53:G57"/>
    <mergeCell ref="H53:H5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28"/>
  <sheetViews>
    <sheetView zoomScale="78" zoomScaleNormal="78" workbookViewId="0">
      <pane ySplit="6" topLeftCell="A47" activePane="bottomLeft" state="frozen"/>
      <selection pane="bottomLeft" activeCell="R100" sqref="R100"/>
    </sheetView>
  </sheetViews>
  <sheetFormatPr defaultColWidth="9" defaultRowHeight="15.75" outlineLevelRow="2" x14ac:dyDescent="0.25"/>
  <cols>
    <col min="1" max="1" width="6.625" style="541" customWidth="1"/>
    <col min="2" max="2" width="45" style="296" customWidth="1"/>
    <col min="3" max="3" width="10.625" style="296" customWidth="1"/>
    <col min="4" max="4" width="11.75" style="296" customWidth="1"/>
    <col min="5" max="5" width="10.625" style="296" customWidth="1"/>
    <col min="6" max="6" width="11.125" style="296" customWidth="1"/>
    <col min="7" max="7" width="11" style="296" customWidth="1"/>
    <col min="8" max="8" width="11.5" style="296" customWidth="1"/>
    <col min="9" max="10" width="10.625" style="296" customWidth="1"/>
    <col min="11" max="11" width="12.125" style="296" customWidth="1"/>
    <col min="12" max="13" width="10.625" style="296" customWidth="1"/>
    <col min="14" max="16" width="9" style="296"/>
    <col min="17" max="17" width="11.375" style="296" bestFit="1" customWidth="1"/>
    <col min="18" max="18" width="9" style="296"/>
    <col min="19" max="19" width="11.375" style="296" bestFit="1" customWidth="1"/>
    <col min="20" max="16384" width="9" style="296"/>
  </cols>
  <sheetData>
    <row r="1" spans="1:18" ht="18.75" x14ac:dyDescent="0.3">
      <c r="A1" s="747" t="s">
        <v>376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</row>
    <row r="2" spans="1:18" x14ac:dyDescent="0.25">
      <c r="A2" s="727" t="str">
        <f>'K. Taotlus'!B5</f>
        <v>Lähte</v>
      </c>
      <c r="B2" s="727"/>
      <c r="C2" s="529"/>
    </row>
    <row r="3" spans="1:18" ht="36" customHeight="1" x14ac:dyDescent="0.25">
      <c r="A3" s="728" t="s">
        <v>40</v>
      </c>
      <c r="B3" s="735" t="s">
        <v>22</v>
      </c>
      <c r="C3" s="735" t="s">
        <v>326</v>
      </c>
      <c r="D3" s="730" t="s">
        <v>219</v>
      </c>
      <c r="E3" s="731" t="s">
        <v>394</v>
      </c>
      <c r="F3" s="714" t="s">
        <v>340</v>
      </c>
      <c r="G3" s="730" t="s">
        <v>615</v>
      </c>
      <c r="H3" s="714" t="s">
        <v>332</v>
      </c>
      <c r="I3" s="714" t="s">
        <v>333</v>
      </c>
      <c r="J3" s="163" t="s">
        <v>9</v>
      </c>
      <c r="K3" s="164" t="s">
        <v>424</v>
      </c>
      <c r="L3" s="165" t="s">
        <v>9</v>
      </c>
      <c r="M3" s="166" t="s">
        <v>424</v>
      </c>
    </row>
    <row r="4" spans="1:18" ht="17.100000000000001" customHeight="1" x14ac:dyDescent="0.25">
      <c r="A4" s="729"/>
      <c r="B4" s="735"/>
      <c r="C4" s="735"/>
      <c r="D4" s="730"/>
      <c r="E4" s="732"/>
      <c r="F4" s="734"/>
      <c r="G4" s="730"/>
      <c r="H4" s="715"/>
      <c r="I4" s="715"/>
      <c r="J4" s="711" t="s">
        <v>377</v>
      </c>
      <c r="K4" s="712"/>
      <c r="L4" s="713" t="s">
        <v>378</v>
      </c>
      <c r="M4" s="713"/>
    </row>
    <row r="5" spans="1:18" ht="17.100000000000001" customHeight="1" x14ac:dyDescent="0.25">
      <c r="A5" s="729"/>
      <c r="B5" s="735"/>
      <c r="C5" s="735"/>
      <c r="D5" s="730"/>
      <c r="E5" s="733"/>
      <c r="F5" s="715"/>
      <c r="G5" s="730"/>
      <c r="H5" s="754">
        <f>'B. Algandmed'!E3-1</f>
        <v>46022</v>
      </c>
      <c r="I5" s="755"/>
      <c r="J5" s="725" t="str">
        <f>'B. Algandmed'!G6</f>
        <v>2026</v>
      </c>
      <c r="K5" s="726"/>
      <c r="L5" s="722" t="str">
        <f>'B. Algandmed'!H6</f>
        <v>2027</v>
      </c>
      <c r="M5" s="723"/>
    </row>
    <row r="6" spans="1:18" x14ac:dyDescent="0.25">
      <c r="A6" s="729"/>
      <c r="B6" s="736"/>
      <c r="C6" s="169" t="s">
        <v>221</v>
      </c>
      <c r="D6" s="169" t="s">
        <v>44</v>
      </c>
      <c r="E6" s="169" t="s">
        <v>44</v>
      </c>
      <c r="F6" s="169" t="s">
        <v>44</v>
      </c>
      <c r="G6" s="169" t="s">
        <v>2</v>
      </c>
      <c r="H6" s="169" t="s">
        <v>44</v>
      </c>
      <c r="I6" s="169" t="s">
        <v>44</v>
      </c>
      <c r="J6" s="169" t="s">
        <v>44</v>
      </c>
      <c r="K6" s="170" t="s">
        <v>44</v>
      </c>
      <c r="L6" s="170" t="s">
        <v>44</v>
      </c>
      <c r="M6" s="64" t="s">
        <v>44</v>
      </c>
    </row>
    <row r="7" spans="1:18" s="530" customFormat="1" ht="12.75" customHeight="1" x14ac:dyDescent="0.25">
      <c r="A7" s="293" t="s">
        <v>222</v>
      </c>
      <c r="B7" s="718" t="s">
        <v>327</v>
      </c>
      <c r="C7" s="718"/>
      <c r="D7" s="718"/>
      <c r="E7" s="718"/>
      <c r="F7" s="718"/>
      <c r="G7" s="718"/>
      <c r="H7" s="718"/>
      <c r="I7" s="718"/>
      <c r="J7" s="718"/>
      <c r="K7" s="718"/>
      <c r="L7" s="718"/>
      <c r="M7" s="718"/>
    </row>
    <row r="8" spans="1:18" s="530" customFormat="1" ht="12.75" customHeight="1" x14ac:dyDescent="0.25">
      <c r="A8" s="531" t="s">
        <v>48</v>
      </c>
      <c r="B8" s="532" t="s">
        <v>852</v>
      </c>
      <c r="C8" s="306">
        <v>45753</v>
      </c>
      <c r="D8" s="313">
        <v>2795.51</v>
      </c>
      <c r="E8" s="313">
        <v>0</v>
      </c>
      <c r="F8" s="445">
        <f>D8-E8</f>
        <v>2795.51</v>
      </c>
      <c r="G8" s="743" t="s">
        <v>17</v>
      </c>
      <c r="H8" s="744"/>
      <c r="I8" s="315">
        <f>D8</f>
        <v>2795.51</v>
      </c>
      <c r="J8" s="716" t="s">
        <v>17</v>
      </c>
      <c r="K8" s="316">
        <f>D8</f>
        <v>2795.51</v>
      </c>
      <c r="L8" s="716" t="s">
        <v>17</v>
      </c>
      <c r="M8" s="317">
        <f>K8</f>
        <v>2795.51</v>
      </c>
      <c r="N8" s="533"/>
      <c r="P8" s="534"/>
    </row>
    <row r="9" spans="1:18" s="530" customFormat="1" ht="12.75" hidden="1" customHeight="1" outlineLevel="2" x14ac:dyDescent="0.25">
      <c r="A9" s="142" t="s">
        <v>52</v>
      </c>
      <c r="B9" s="141" t="s">
        <v>322</v>
      </c>
      <c r="C9" s="307"/>
      <c r="D9" s="312"/>
      <c r="E9" s="312"/>
      <c r="F9" s="445">
        <f>D9-E9</f>
        <v>0</v>
      </c>
      <c r="G9" s="743"/>
      <c r="H9" s="744"/>
      <c r="I9" s="318">
        <f>D9</f>
        <v>0</v>
      </c>
      <c r="J9" s="716"/>
      <c r="K9" s="319">
        <f>D9</f>
        <v>0</v>
      </c>
      <c r="L9" s="716"/>
      <c r="M9" s="320">
        <f>K9</f>
        <v>0</v>
      </c>
    </row>
    <row r="10" spans="1:18" s="530" customFormat="1" ht="12.75" hidden="1" customHeight="1" outlineLevel="2" x14ac:dyDescent="0.25">
      <c r="A10" s="142" t="s">
        <v>72</v>
      </c>
      <c r="B10" s="141" t="s">
        <v>322</v>
      </c>
      <c r="C10" s="307"/>
      <c r="D10" s="312"/>
      <c r="E10" s="312"/>
      <c r="F10" s="445">
        <f>D10-E10</f>
        <v>0</v>
      </c>
      <c r="G10" s="743"/>
      <c r="H10" s="744"/>
      <c r="I10" s="318">
        <f>D10</f>
        <v>0</v>
      </c>
      <c r="J10" s="716"/>
      <c r="K10" s="319">
        <f>D10</f>
        <v>0</v>
      </c>
      <c r="L10" s="716"/>
      <c r="M10" s="320">
        <f>K10</f>
        <v>0</v>
      </c>
    </row>
    <row r="11" spans="1:18" s="530" customFormat="1" ht="12.75" hidden="1" customHeight="1" outlineLevel="2" x14ac:dyDescent="0.25">
      <c r="A11" s="142" t="s">
        <v>82</v>
      </c>
      <c r="B11" s="141" t="s">
        <v>322</v>
      </c>
      <c r="C11" s="307"/>
      <c r="D11" s="312"/>
      <c r="E11" s="312"/>
      <c r="F11" s="445">
        <f>D11-E11</f>
        <v>0</v>
      </c>
      <c r="G11" s="743"/>
      <c r="H11" s="744"/>
      <c r="I11" s="318">
        <f>D11</f>
        <v>0</v>
      </c>
      <c r="J11" s="716"/>
      <c r="K11" s="319">
        <f>D11</f>
        <v>0</v>
      </c>
      <c r="L11" s="716"/>
      <c r="M11" s="320">
        <f>K11</f>
        <v>0</v>
      </c>
    </row>
    <row r="12" spans="1:18" s="143" customFormat="1" ht="12.75" customHeight="1" collapsed="1" x14ac:dyDescent="0.2">
      <c r="A12" s="167" t="s">
        <v>199</v>
      </c>
      <c r="B12" s="168" t="s">
        <v>328</v>
      </c>
      <c r="C12" s="433" t="s">
        <v>17</v>
      </c>
      <c r="D12" s="324">
        <f>SUM(D8:D11)</f>
        <v>2795.51</v>
      </c>
      <c r="E12" s="324">
        <f>SUM(E8:E11)</f>
        <v>0</v>
      </c>
      <c r="F12" s="324">
        <f>SUM(F8:F11)</f>
        <v>2795.51</v>
      </c>
      <c r="G12" s="743"/>
      <c r="H12" s="744"/>
      <c r="I12" s="324">
        <f>SUM(I8:I11)</f>
        <v>2795.51</v>
      </c>
      <c r="J12" s="716"/>
      <c r="K12" s="376">
        <f>SUM(K8:K11)</f>
        <v>2795.51</v>
      </c>
      <c r="L12" s="716"/>
      <c r="M12" s="328">
        <f>SUM(M8:M11)</f>
        <v>2795.51</v>
      </c>
      <c r="N12" s="533"/>
    </row>
    <row r="13" spans="1:18" s="530" customFormat="1" ht="12.75" customHeight="1" x14ac:dyDescent="0.25">
      <c r="A13" s="737"/>
      <c r="B13" s="737"/>
      <c r="C13" s="737"/>
      <c r="D13" s="737"/>
      <c r="E13" s="737"/>
      <c r="F13" s="737"/>
      <c r="G13" s="737"/>
      <c r="H13" s="737"/>
      <c r="I13" s="737"/>
      <c r="J13" s="737"/>
      <c r="K13" s="737"/>
      <c r="L13" s="737"/>
      <c r="M13" s="737"/>
    </row>
    <row r="14" spans="1:18" s="530" customFormat="1" ht="12.75" customHeight="1" x14ac:dyDescent="0.25">
      <c r="A14" s="292" t="s">
        <v>91</v>
      </c>
      <c r="B14" s="718" t="s">
        <v>319</v>
      </c>
      <c r="C14" s="718"/>
      <c r="D14" s="718"/>
      <c r="E14" s="718"/>
      <c r="F14" s="718"/>
      <c r="G14" s="718"/>
      <c r="H14" s="718"/>
      <c r="I14" s="718"/>
      <c r="J14" s="718"/>
      <c r="K14" s="718"/>
      <c r="L14" s="718"/>
      <c r="M14" s="718"/>
      <c r="N14" s="533"/>
    </row>
    <row r="15" spans="1:18" s="530" customFormat="1" ht="12.75" customHeight="1" x14ac:dyDescent="0.25">
      <c r="A15" s="142" t="s">
        <v>92</v>
      </c>
      <c r="B15" s="113" t="s">
        <v>861</v>
      </c>
      <c r="C15" s="535">
        <v>45981</v>
      </c>
      <c r="D15" s="528">
        <v>18737.73</v>
      </c>
      <c r="E15" s="313">
        <v>0</v>
      </c>
      <c r="F15" s="445">
        <f>D15-E15</f>
        <v>18737.73</v>
      </c>
      <c r="G15" s="303">
        <v>2.5000000000000001E-2</v>
      </c>
      <c r="H15" s="312">
        <f>SUM(D15*G15/12)</f>
        <v>39.036937500000001</v>
      </c>
      <c r="I15" s="315">
        <f>D15-H15</f>
        <v>18698.693062499999</v>
      </c>
      <c r="J15" s="315">
        <f>IF((I15-D15*G15)&gt;0,D15*G15,I15)</f>
        <v>468.44325000000003</v>
      </c>
      <c r="K15" s="316">
        <f>I15-J15</f>
        <v>18230.249812499998</v>
      </c>
      <c r="L15" s="317">
        <f>IF((K15-D15*G15)&gt;0,D15*G15,K15)</f>
        <v>468.44325000000003</v>
      </c>
      <c r="M15" s="317">
        <f>K15-L15</f>
        <v>17761.806562499998</v>
      </c>
      <c r="N15" s="536"/>
    </row>
    <row r="16" spans="1:18" s="530" customFormat="1" x14ac:dyDescent="0.25">
      <c r="A16" s="142" t="s">
        <v>94</v>
      </c>
      <c r="B16" s="113" t="s">
        <v>862</v>
      </c>
      <c r="C16" s="535">
        <v>45981</v>
      </c>
      <c r="D16" s="528">
        <v>25148.479301279996</v>
      </c>
      <c r="E16" s="312">
        <v>3834.2743444356183</v>
      </c>
      <c r="F16" s="445">
        <f t="shared" ref="F16:F31" si="0">D16-E16</f>
        <v>21314.204956844376</v>
      </c>
      <c r="G16" s="303">
        <v>0.05</v>
      </c>
      <c r="H16" s="312">
        <f t="shared" ref="H16:H28" si="1">SUM(D16*G16/12)</f>
        <v>104.785330422</v>
      </c>
      <c r="I16" s="318">
        <f t="shared" ref="I16:I31" si="2">D16-H16</f>
        <v>25043.693970857996</v>
      </c>
      <c r="J16" s="318">
        <f>IF((I16-D16*G16)&gt;0,D16*G16,I16)</f>
        <v>1257.423965064</v>
      </c>
      <c r="K16" s="319">
        <f>I16-J16</f>
        <v>23786.270005793995</v>
      </c>
      <c r="L16" s="320">
        <f t="shared" ref="L16:L31" si="3">IF((K16-D16*G16)&gt;0,D16*G16,K16)</f>
        <v>1257.423965064</v>
      </c>
      <c r="M16" s="320">
        <f t="shared" ref="M16:M31" si="4">K16-L16</f>
        <v>22528.846040729994</v>
      </c>
      <c r="N16" s="536"/>
      <c r="O16" s="533"/>
      <c r="P16" s="533"/>
      <c r="Q16" s="533"/>
      <c r="R16" s="537"/>
    </row>
    <row r="17" spans="1:18" s="530" customFormat="1" x14ac:dyDescent="0.25">
      <c r="A17" s="142" t="s">
        <v>139</v>
      </c>
      <c r="B17" s="113" t="s">
        <v>863</v>
      </c>
      <c r="C17" s="535">
        <v>45981</v>
      </c>
      <c r="D17" s="528">
        <v>307694.65500000003</v>
      </c>
      <c r="E17" s="312">
        <v>46912.805639362086</v>
      </c>
      <c r="F17" s="445">
        <f t="shared" si="0"/>
        <v>260781.84936063795</v>
      </c>
      <c r="G17" s="303">
        <v>0.05</v>
      </c>
      <c r="H17" s="312">
        <f t="shared" si="1"/>
        <v>1282.0610625000002</v>
      </c>
      <c r="I17" s="315">
        <f t="shared" si="2"/>
        <v>306412.59393750003</v>
      </c>
      <c r="J17" s="315">
        <f t="shared" ref="J17:J28" si="5">IF((I17-D17*G17)&gt;0,D17*G17,I17)</f>
        <v>15384.732750000003</v>
      </c>
      <c r="K17" s="316">
        <f t="shared" ref="K17:K28" si="6">I17-J17</f>
        <v>291027.86118750001</v>
      </c>
      <c r="L17" s="317">
        <f t="shared" si="3"/>
        <v>15384.732750000003</v>
      </c>
      <c r="M17" s="317">
        <f t="shared" si="4"/>
        <v>275643.12843749998</v>
      </c>
      <c r="N17" s="536"/>
      <c r="O17" s="533"/>
      <c r="P17" s="533"/>
      <c r="Q17" s="533"/>
      <c r="R17" s="537"/>
    </row>
    <row r="18" spans="1:18" s="530" customFormat="1" x14ac:dyDescent="0.25">
      <c r="A18" s="142" t="s">
        <v>223</v>
      </c>
      <c r="B18" s="113" t="s">
        <v>864</v>
      </c>
      <c r="C18" s="535">
        <v>45981</v>
      </c>
      <c r="D18" s="528">
        <v>117969.644</v>
      </c>
      <c r="E18" s="312">
        <v>17986.295473077804</v>
      </c>
      <c r="F18" s="445">
        <f t="shared" si="0"/>
        <v>99983.3485269222</v>
      </c>
      <c r="G18" s="303">
        <v>0.05</v>
      </c>
      <c r="H18" s="312">
        <f t="shared" si="1"/>
        <v>491.54018333333335</v>
      </c>
      <c r="I18" s="318">
        <f t="shared" ref="I18:I28" si="7">D18-H18</f>
        <v>117478.10381666667</v>
      </c>
      <c r="J18" s="318">
        <f t="shared" si="5"/>
        <v>5898.4822000000004</v>
      </c>
      <c r="K18" s="319">
        <f t="shared" si="6"/>
        <v>111579.62161666667</v>
      </c>
      <c r="L18" s="320">
        <f t="shared" ref="L18:L28" si="8">IF((K18-D18*G18)&gt;0,D18*G18,K18)</f>
        <v>5898.4822000000004</v>
      </c>
      <c r="M18" s="320">
        <f t="shared" ref="M18:M28" si="9">K18-L18</f>
        <v>105681.13941666667</v>
      </c>
      <c r="N18" s="536"/>
      <c r="O18" s="533"/>
      <c r="P18" s="533"/>
      <c r="Q18" s="533"/>
      <c r="R18" s="537"/>
    </row>
    <row r="19" spans="1:18" s="530" customFormat="1" x14ac:dyDescent="0.25">
      <c r="A19" s="142" t="s">
        <v>224</v>
      </c>
      <c r="B19" s="113" t="s">
        <v>865</v>
      </c>
      <c r="C19" s="535">
        <v>45981</v>
      </c>
      <c r="D19" s="528">
        <v>41834.296000000002</v>
      </c>
      <c r="E19" s="312">
        <v>6378.2849829079505</v>
      </c>
      <c r="F19" s="445">
        <f t="shared" si="0"/>
        <v>35456.011017092052</v>
      </c>
      <c r="G19" s="303">
        <v>0.05</v>
      </c>
      <c r="H19" s="312">
        <f t="shared" si="1"/>
        <v>174.30956666666668</v>
      </c>
      <c r="I19" s="315">
        <f t="shared" si="7"/>
        <v>41659.986433333339</v>
      </c>
      <c r="J19" s="315">
        <f t="shared" si="5"/>
        <v>2091.7148000000002</v>
      </c>
      <c r="K19" s="316">
        <f t="shared" si="6"/>
        <v>39568.271633333337</v>
      </c>
      <c r="L19" s="317">
        <f t="shared" si="8"/>
        <v>2091.7148000000002</v>
      </c>
      <c r="M19" s="317">
        <f t="shared" si="9"/>
        <v>37476.556833333336</v>
      </c>
      <c r="N19" s="536"/>
      <c r="O19" s="533"/>
      <c r="P19" s="533"/>
      <c r="Q19" s="533"/>
      <c r="R19" s="537"/>
    </row>
    <row r="20" spans="1:18" s="530" customFormat="1" x14ac:dyDescent="0.25">
      <c r="A20" s="142" t="s">
        <v>225</v>
      </c>
      <c r="B20" s="113" t="s">
        <v>866</v>
      </c>
      <c r="C20" s="535">
        <v>45981</v>
      </c>
      <c r="D20" s="528">
        <v>105999.819</v>
      </c>
      <c r="E20" s="312">
        <v>16161.310655703655</v>
      </c>
      <c r="F20" s="445">
        <f t="shared" si="0"/>
        <v>89838.508344296351</v>
      </c>
      <c r="G20" s="303">
        <v>0.05</v>
      </c>
      <c r="H20" s="312">
        <f t="shared" si="1"/>
        <v>441.66591250000005</v>
      </c>
      <c r="I20" s="318">
        <f t="shared" si="7"/>
        <v>105558.1530875</v>
      </c>
      <c r="J20" s="318">
        <f t="shared" si="5"/>
        <v>5299.9909500000003</v>
      </c>
      <c r="K20" s="319">
        <f t="shared" si="6"/>
        <v>100258.1621375</v>
      </c>
      <c r="L20" s="320">
        <f t="shared" si="8"/>
        <v>5299.9909500000003</v>
      </c>
      <c r="M20" s="320">
        <f t="shared" si="9"/>
        <v>94958.171187499989</v>
      </c>
      <c r="N20" s="536"/>
      <c r="O20" s="533"/>
      <c r="P20" s="533"/>
      <c r="Q20" s="533"/>
      <c r="R20" s="537"/>
    </row>
    <row r="21" spans="1:18" s="530" customFormat="1" x14ac:dyDescent="0.25">
      <c r="A21" s="142" t="s">
        <v>226</v>
      </c>
      <c r="B21" s="113" t="s">
        <v>867</v>
      </c>
      <c r="C21" s="535">
        <v>45981</v>
      </c>
      <c r="D21" s="528">
        <v>143863.943</v>
      </c>
      <c r="E21" s="312">
        <v>21934.281557381179</v>
      </c>
      <c r="F21" s="445">
        <f t="shared" si="0"/>
        <v>121929.66144261882</v>
      </c>
      <c r="G21" s="303">
        <v>0.05</v>
      </c>
      <c r="H21" s="312">
        <f t="shared" si="1"/>
        <v>599.43309583333337</v>
      </c>
      <c r="I21" s="315">
        <f t="shared" si="7"/>
        <v>143264.50990416665</v>
      </c>
      <c r="J21" s="315">
        <f t="shared" si="5"/>
        <v>7193.19715</v>
      </c>
      <c r="K21" s="316">
        <f t="shared" si="6"/>
        <v>136071.31275416666</v>
      </c>
      <c r="L21" s="317">
        <f t="shared" si="8"/>
        <v>7193.19715</v>
      </c>
      <c r="M21" s="317">
        <f t="shared" si="9"/>
        <v>128878.11560416667</v>
      </c>
      <c r="N21" s="536"/>
      <c r="O21" s="533"/>
      <c r="P21" s="533"/>
      <c r="Q21" s="533"/>
      <c r="R21" s="537"/>
    </row>
    <row r="22" spans="1:18" s="530" customFormat="1" x14ac:dyDescent="0.25">
      <c r="A22" s="142" t="s">
        <v>227</v>
      </c>
      <c r="B22" s="113" t="s">
        <v>868</v>
      </c>
      <c r="C22" s="535">
        <v>45981</v>
      </c>
      <c r="D22" s="528">
        <v>17040.638999999999</v>
      </c>
      <c r="E22" s="312">
        <v>2598.1087821546116</v>
      </c>
      <c r="F22" s="445">
        <f t="shared" si="0"/>
        <v>14442.530217845388</v>
      </c>
      <c r="G22" s="303">
        <v>0.05</v>
      </c>
      <c r="H22" s="312">
        <f t="shared" si="1"/>
        <v>71.0026625</v>
      </c>
      <c r="I22" s="318">
        <f t="shared" si="7"/>
        <v>16969.6363375</v>
      </c>
      <c r="J22" s="318">
        <f t="shared" si="5"/>
        <v>852.03195000000005</v>
      </c>
      <c r="K22" s="319">
        <f t="shared" si="6"/>
        <v>16117.6043875</v>
      </c>
      <c r="L22" s="320">
        <f t="shared" si="8"/>
        <v>852.03195000000005</v>
      </c>
      <c r="M22" s="320">
        <f t="shared" si="9"/>
        <v>15265.572437499999</v>
      </c>
      <c r="N22" s="536"/>
      <c r="O22" s="533"/>
      <c r="P22" s="533"/>
      <c r="Q22" s="533"/>
      <c r="R22" s="537"/>
    </row>
    <row r="23" spans="1:18" s="530" customFormat="1" x14ac:dyDescent="0.25">
      <c r="A23" s="142" t="s">
        <v>228</v>
      </c>
      <c r="B23" s="113" t="s">
        <v>869</v>
      </c>
      <c r="C23" s="535">
        <v>45981</v>
      </c>
      <c r="D23" s="528">
        <v>92491.79</v>
      </c>
      <c r="E23" s="312">
        <v>526.42662512081586</v>
      </c>
      <c r="F23" s="445">
        <f t="shared" si="0"/>
        <v>91965.363374879176</v>
      </c>
      <c r="G23" s="303">
        <v>0.05</v>
      </c>
      <c r="H23" s="312">
        <f>SUM(D23*G23/12)</f>
        <v>385.38245833333332</v>
      </c>
      <c r="I23" s="315">
        <f t="shared" si="7"/>
        <v>92106.40754166666</v>
      </c>
      <c r="J23" s="315">
        <f t="shared" si="5"/>
        <v>4624.5895</v>
      </c>
      <c r="K23" s="316">
        <f t="shared" si="6"/>
        <v>87481.818041666658</v>
      </c>
      <c r="L23" s="317">
        <f t="shared" si="8"/>
        <v>4624.5895</v>
      </c>
      <c r="M23" s="317">
        <f t="shared" si="9"/>
        <v>82857.228541666656</v>
      </c>
      <c r="N23" s="536"/>
      <c r="O23" s="533"/>
      <c r="P23" s="533"/>
      <c r="Q23" s="533"/>
      <c r="R23" s="537"/>
    </row>
    <row r="24" spans="1:18" s="530" customFormat="1" x14ac:dyDescent="0.25">
      <c r="A24" s="142" t="s">
        <v>229</v>
      </c>
      <c r="B24" s="113" t="s">
        <v>870</v>
      </c>
      <c r="C24" s="535">
        <v>45981</v>
      </c>
      <c r="D24" s="528">
        <f>58532.8+13059.63</f>
        <v>71592.430000000008</v>
      </c>
      <c r="E24" s="312">
        <v>8924.2299965452858</v>
      </c>
      <c r="F24" s="445">
        <f t="shared" si="0"/>
        <v>62668.200003454724</v>
      </c>
      <c r="G24" s="303">
        <v>0.05</v>
      </c>
      <c r="H24" s="312">
        <f t="shared" si="1"/>
        <v>298.3017916666667</v>
      </c>
      <c r="I24" s="318">
        <f t="shared" si="7"/>
        <v>71294.128208333335</v>
      </c>
      <c r="J24" s="318">
        <f t="shared" si="5"/>
        <v>3579.6215000000007</v>
      </c>
      <c r="K24" s="319">
        <f t="shared" si="6"/>
        <v>67714.506708333342</v>
      </c>
      <c r="L24" s="320">
        <f t="shared" si="8"/>
        <v>3579.6215000000007</v>
      </c>
      <c r="M24" s="320">
        <f t="shared" si="9"/>
        <v>64134.88520833334</v>
      </c>
      <c r="N24" s="536"/>
      <c r="O24" s="533"/>
      <c r="P24" s="533"/>
      <c r="Q24" s="533"/>
      <c r="R24" s="537"/>
    </row>
    <row r="25" spans="1:18" s="530" customFormat="1" outlineLevel="1" x14ac:dyDescent="0.25">
      <c r="A25" s="142" t="s">
        <v>364</v>
      </c>
      <c r="B25" s="113" t="s">
        <v>871</v>
      </c>
      <c r="C25" s="535">
        <v>45981</v>
      </c>
      <c r="D25" s="312">
        <v>582518.33219600003</v>
      </c>
      <c r="E25" s="312">
        <v>88813.922684735313</v>
      </c>
      <c r="F25" s="445">
        <f t="shared" si="0"/>
        <v>493704.4095112647</v>
      </c>
      <c r="G25" s="303">
        <v>2.5000000000000001E-2</v>
      </c>
      <c r="H25" s="312">
        <f t="shared" si="1"/>
        <v>1213.5798587416668</v>
      </c>
      <c r="I25" s="318">
        <f t="shared" si="7"/>
        <v>581304.75233725831</v>
      </c>
      <c r="J25" s="318">
        <f t="shared" si="5"/>
        <v>14562.958304900001</v>
      </c>
      <c r="K25" s="319">
        <f t="shared" si="6"/>
        <v>566741.79403235833</v>
      </c>
      <c r="L25" s="320">
        <f t="shared" si="8"/>
        <v>14562.958304900001</v>
      </c>
      <c r="M25" s="320">
        <f t="shared" si="9"/>
        <v>552178.83572745835</v>
      </c>
      <c r="N25" s="533"/>
    </row>
    <row r="26" spans="1:18" s="530" customFormat="1" ht="12.75" customHeight="1" outlineLevel="1" x14ac:dyDescent="0.25">
      <c r="A26" s="142" t="s">
        <v>365</v>
      </c>
      <c r="B26" s="113" t="s">
        <v>872</v>
      </c>
      <c r="C26" s="535">
        <v>45981</v>
      </c>
      <c r="D26" s="528">
        <v>3556</v>
      </c>
      <c r="E26" s="312">
        <v>542.16715871639553</v>
      </c>
      <c r="F26" s="445">
        <f t="shared" si="0"/>
        <v>3013.8328412836045</v>
      </c>
      <c r="G26" s="303">
        <v>2.5000000000000001E-2</v>
      </c>
      <c r="H26" s="312">
        <f t="shared" si="1"/>
        <v>7.4083333333333341</v>
      </c>
      <c r="I26" s="315">
        <f t="shared" si="7"/>
        <v>3548.5916666666667</v>
      </c>
      <c r="J26" s="315">
        <f t="shared" si="5"/>
        <v>88.9</v>
      </c>
      <c r="K26" s="316">
        <f t="shared" si="6"/>
        <v>3459.6916666666666</v>
      </c>
      <c r="L26" s="317">
        <f t="shared" si="8"/>
        <v>88.9</v>
      </c>
      <c r="M26" s="317">
        <f t="shared" si="9"/>
        <v>3370.7916666666665</v>
      </c>
      <c r="N26" s="536"/>
      <c r="Q26" s="536"/>
    </row>
    <row r="27" spans="1:18" s="530" customFormat="1" ht="12.75" customHeight="1" outlineLevel="1" x14ac:dyDescent="0.25">
      <c r="A27" s="142" t="s">
        <v>366</v>
      </c>
      <c r="B27" s="113" t="s">
        <v>875</v>
      </c>
      <c r="C27" s="535">
        <v>45981</v>
      </c>
      <c r="D27" s="528">
        <v>72000</v>
      </c>
      <c r="E27" s="312">
        <v>0</v>
      </c>
      <c r="F27" s="445">
        <f t="shared" si="0"/>
        <v>72000</v>
      </c>
      <c r="G27" s="303">
        <v>2.5000000000000001E-2</v>
      </c>
      <c r="H27" s="312">
        <f>SUM(D27*G27/12)</f>
        <v>150</v>
      </c>
      <c r="I27" s="315">
        <f>D27-H27</f>
        <v>71850</v>
      </c>
      <c r="J27" s="315">
        <f t="shared" si="5"/>
        <v>1800</v>
      </c>
      <c r="K27" s="316">
        <f t="shared" si="6"/>
        <v>70050</v>
      </c>
      <c r="L27" s="317">
        <f t="shared" si="8"/>
        <v>1800</v>
      </c>
      <c r="M27" s="317">
        <f t="shared" si="9"/>
        <v>68250</v>
      </c>
      <c r="N27" s="536"/>
      <c r="Q27" s="536"/>
    </row>
    <row r="28" spans="1:18" s="530" customFormat="1" ht="12.75" customHeight="1" outlineLevel="1" x14ac:dyDescent="0.25">
      <c r="A28" s="142" t="s">
        <v>367</v>
      </c>
      <c r="B28" s="113" t="s">
        <v>873</v>
      </c>
      <c r="C28" s="309">
        <v>45981</v>
      </c>
      <c r="D28" s="312">
        <v>100488.29837759999</v>
      </c>
      <c r="E28" s="312">
        <v>15320.994155126198</v>
      </c>
      <c r="F28" s="445">
        <f t="shared" si="0"/>
        <v>85167.304222473787</v>
      </c>
      <c r="G28" s="303">
        <v>0.05</v>
      </c>
      <c r="H28" s="312">
        <f t="shared" si="1"/>
        <v>418.70124324</v>
      </c>
      <c r="I28" s="318">
        <f t="shared" si="7"/>
        <v>100069.59713436</v>
      </c>
      <c r="J28" s="318">
        <f t="shared" si="5"/>
        <v>5024.4149188800002</v>
      </c>
      <c r="K28" s="319">
        <f t="shared" si="6"/>
        <v>95045.182215479988</v>
      </c>
      <c r="L28" s="320">
        <f t="shared" si="8"/>
        <v>5024.4149188800002</v>
      </c>
      <c r="M28" s="320">
        <f t="shared" si="9"/>
        <v>90020.767296599981</v>
      </c>
      <c r="N28" s="146"/>
    </row>
    <row r="29" spans="1:18" s="530" customFormat="1" ht="12.75" customHeight="1" outlineLevel="1" x14ac:dyDescent="0.25">
      <c r="A29" s="142"/>
      <c r="B29" s="113"/>
      <c r="C29" s="309"/>
      <c r="D29" s="312"/>
      <c r="E29" s="312"/>
      <c r="F29" s="445">
        <f t="shared" si="0"/>
        <v>0</v>
      </c>
      <c r="G29" s="303"/>
      <c r="H29" s="312"/>
      <c r="I29" s="318">
        <f t="shared" si="2"/>
        <v>0</v>
      </c>
      <c r="J29" s="318">
        <f t="shared" ref="J29:J31" si="10">IF((I29-D29*G29)&gt;0,D29*G29,I29)</f>
        <v>0</v>
      </c>
      <c r="K29" s="319">
        <f t="shared" ref="K29:K31" si="11">I29-J29</f>
        <v>0</v>
      </c>
      <c r="L29" s="320">
        <f t="shared" si="3"/>
        <v>0</v>
      </c>
      <c r="M29" s="320">
        <f t="shared" si="4"/>
        <v>0</v>
      </c>
    </row>
    <row r="30" spans="1:18" s="530" customFormat="1" ht="12.75" customHeight="1" outlineLevel="1" x14ac:dyDescent="0.25">
      <c r="A30" s="142"/>
      <c r="B30" s="113"/>
      <c r="C30" s="309"/>
      <c r="D30" s="312"/>
      <c r="E30" s="312"/>
      <c r="F30" s="445">
        <f t="shared" si="0"/>
        <v>0</v>
      </c>
      <c r="G30" s="303"/>
      <c r="H30" s="312"/>
      <c r="I30" s="318">
        <f t="shared" si="2"/>
        <v>0</v>
      </c>
      <c r="J30" s="318">
        <f t="shared" si="10"/>
        <v>0</v>
      </c>
      <c r="K30" s="319">
        <f t="shared" si="11"/>
        <v>0</v>
      </c>
      <c r="L30" s="320">
        <f t="shared" si="3"/>
        <v>0</v>
      </c>
      <c r="M30" s="320">
        <f t="shared" si="4"/>
        <v>0</v>
      </c>
    </row>
    <row r="31" spans="1:18" s="530" customFormat="1" ht="12.75" customHeight="1" outlineLevel="1" x14ac:dyDescent="0.25">
      <c r="A31" s="142"/>
      <c r="B31" s="113"/>
      <c r="C31" s="309"/>
      <c r="D31" s="312"/>
      <c r="E31" s="312"/>
      <c r="F31" s="445">
        <f t="shared" si="0"/>
        <v>0</v>
      </c>
      <c r="G31" s="303"/>
      <c r="H31" s="312"/>
      <c r="I31" s="318">
        <f t="shared" si="2"/>
        <v>0</v>
      </c>
      <c r="J31" s="318">
        <f t="shared" si="10"/>
        <v>0</v>
      </c>
      <c r="K31" s="319">
        <f t="shared" si="11"/>
        <v>0</v>
      </c>
      <c r="L31" s="320">
        <f t="shared" si="3"/>
        <v>0</v>
      </c>
      <c r="M31" s="320">
        <f t="shared" si="4"/>
        <v>0</v>
      </c>
    </row>
    <row r="32" spans="1:18" ht="12.75" customHeight="1" x14ac:dyDescent="0.25">
      <c r="A32" s="117" t="s">
        <v>201</v>
      </c>
      <c r="B32" s="37" t="s">
        <v>715</v>
      </c>
      <c r="C32" s="767" t="s">
        <v>17</v>
      </c>
      <c r="D32" s="324">
        <f>SUM(D12:D31)</f>
        <v>1703731.5658748802</v>
      </c>
      <c r="E32" s="324">
        <f>SUM(E12:E31)</f>
        <v>229933.10205526691</v>
      </c>
      <c r="F32" s="324">
        <f>SUM(F12:F31)</f>
        <v>1473798.4638196132</v>
      </c>
      <c r="G32" s="239" t="s">
        <v>17</v>
      </c>
      <c r="H32" s="324">
        <f>SUM(H15:H31)</f>
        <v>5677.208436570334</v>
      </c>
      <c r="I32" s="325">
        <f>SUM(I12:I31)</f>
        <v>1698054.3574383096</v>
      </c>
      <c r="J32" s="325">
        <f>SUM(J15:J31)</f>
        <v>68126.501238844008</v>
      </c>
      <c r="K32" s="325">
        <f>SUM(K12:K31)</f>
        <v>1629927.8561994657</v>
      </c>
      <c r="L32" s="325">
        <f>SUM(L15:L31)</f>
        <v>68126.501238844008</v>
      </c>
      <c r="M32" s="325">
        <f>SUM(M12:M31)</f>
        <v>1561801.3549606218</v>
      </c>
    </row>
    <row r="33" spans="1:19" s="146" customFormat="1" ht="24" customHeight="1" x14ac:dyDescent="0.25">
      <c r="A33" s="142" t="s">
        <v>241</v>
      </c>
      <c r="B33" s="65" t="s">
        <v>393</v>
      </c>
      <c r="C33" s="768"/>
      <c r="D33" s="717" t="s">
        <v>17</v>
      </c>
      <c r="E33" s="717"/>
      <c r="F33" s="717"/>
      <c r="G33" s="717"/>
      <c r="H33" s="320">
        <v>771.9</v>
      </c>
      <c r="I33" s="312">
        <v>229161.21</v>
      </c>
      <c r="J33" s="312">
        <v>9262.75</v>
      </c>
      <c r="K33" s="326">
        <f>I33-J33</f>
        <v>219898.46</v>
      </c>
      <c r="L33" s="335">
        <v>9262.75</v>
      </c>
      <c r="M33" s="327">
        <f>K33-L33</f>
        <v>210635.71</v>
      </c>
    </row>
    <row r="34" spans="1:19" s="111" customFormat="1" ht="12.75" customHeight="1" x14ac:dyDescent="0.25">
      <c r="A34" s="167" t="s">
        <v>334</v>
      </c>
      <c r="B34" s="168" t="s">
        <v>698</v>
      </c>
      <c r="C34" s="769"/>
      <c r="D34" s="339">
        <f>D32-E32</f>
        <v>1473798.4638196132</v>
      </c>
      <c r="E34" s="764" t="s">
        <v>17</v>
      </c>
      <c r="F34" s="765"/>
      <c r="G34" s="766"/>
      <c r="H34" s="328">
        <f t="shared" ref="H34:L34" si="12">H32-H33</f>
        <v>4905.3084365703344</v>
      </c>
      <c r="I34" s="324">
        <f>I32-I33</f>
        <v>1468893.1474383096</v>
      </c>
      <c r="J34" s="324">
        <f>J32-J33</f>
        <v>58863.751238844008</v>
      </c>
      <c r="K34" s="324">
        <f t="shared" si="12"/>
        <v>1410029.3961994657</v>
      </c>
      <c r="L34" s="324">
        <f t="shared" si="12"/>
        <v>58863.751238844008</v>
      </c>
      <c r="M34" s="324">
        <f>M32-M33</f>
        <v>1351165.6449606218</v>
      </c>
      <c r="N34" s="147"/>
    </row>
    <row r="35" spans="1:19" s="530" customFormat="1" ht="12.75" customHeight="1" x14ac:dyDescent="0.25">
      <c r="A35" s="737"/>
      <c r="B35" s="737"/>
      <c r="C35" s="737"/>
      <c r="D35" s="737"/>
      <c r="E35" s="737"/>
      <c r="F35" s="737"/>
      <c r="G35" s="737"/>
      <c r="H35" s="737"/>
      <c r="I35" s="737"/>
      <c r="J35" s="737"/>
      <c r="K35" s="737"/>
      <c r="L35" s="737"/>
      <c r="M35" s="737"/>
    </row>
    <row r="36" spans="1:19" s="530" customFormat="1" ht="12.75" customHeight="1" x14ac:dyDescent="0.25">
      <c r="A36" s="292" t="s">
        <v>97</v>
      </c>
      <c r="B36" s="718" t="s">
        <v>339</v>
      </c>
      <c r="C36" s="718"/>
      <c r="D36" s="718"/>
      <c r="E36" s="718"/>
      <c r="F36" s="718"/>
      <c r="G36" s="718"/>
      <c r="H36" s="718"/>
      <c r="I36" s="718"/>
      <c r="J36" s="718"/>
      <c r="K36" s="718"/>
      <c r="L36" s="718"/>
      <c r="M36" s="718"/>
      <c r="Q36" s="524"/>
      <c r="S36" s="538"/>
    </row>
    <row r="37" spans="1:19" s="530" customFormat="1" ht="12.75" customHeight="1" x14ac:dyDescent="0.25">
      <c r="A37" s="142" t="s">
        <v>98</v>
      </c>
      <c r="B37" s="114" t="s">
        <v>853</v>
      </c>
      <c r="C37" s="308">
        <v>41186</v>
      </c>
      <c r="D37" s="313">
        <v>331578.3</v>
      </c>
      <c r="E37" s="313">
        <v>163733.35999999999</v>
      </c>
      <c r="F37" s="445">
        <f>D37-E37</f>
        <v>167844.94</v>
      </c>
      <c r="G37" s="302">
        <v>2.5000000000000001E-2</v>
      </c>
      <c r="H37" s="313">
        <v>123510.18</v>
      </c>
      <c r="I37" s="315">
        <f t="shared" ref="I37:I56" si="13">D37-H37</f>
        <v>208068.12</v>
      </c>
      <c r="J37" s="315">
        <f t="shared" ref="J37:J56" si="14">IF((I37-D37*G37)&gt;0,D37*G37,I37)</f>
        <v>8289.4575000000004</v>
      </c>
      <c r="K37" s="316">
        <f>I37-J37</f>
        <v>199778.66250000001</v>
      </c>
      <c r="L37" s="317">
        <f>IF((K37-D37*G37)&gt;0,D37*G37,K37)</f>
        <v>8289.4575000000004</v>
      </c>
      <c r="M37" s="317">
        <f t="shared" ref="M37:M56" si="15">K37-L37</f>
        <v>191489.20500000002</v>
      </c>
    </row>
    <row r="38" spans="1:19" s="530" customFormat="1" ht="12.75" customHeight="1" x14ac:dyDescent="0.25">
      <c r="A38" s="142" t="s">
        <v>104</v>
      </c>
      <c r="B38" s="114" t="s">
        <v>855</v>
      </c>
      <c r="C38" s="309">
        <v>45626</v>
      </c>
      <c r="D38" s="312">
        <v>53403</v>
      </c>
      <c r="E38" s="312">
        <v>20085.23</v>
      </c>
      <c r="F38" s="445">
        <f t="shared" ref="F38:F56" si="16">D38-E38</f>
        <v>33317.770000000004</v>
      </c>
      <c r="G38" s="303">
        <v>2.5000000000000001E-2</v>
      </c>
      <c r="H38" s="312">
        <v>2893</v>
      </c>
      <c r="I38" s="318">
        <f t="shared" si="13"/>
        <v>50510</v>
      </c>
      <c r="J38" s="318">
        <f t="shared" si="14"/>
        <v>1335.075</v>
      </c>
      <c r="K38" s="319">
        <f t="shared" ref="K38:K56" si="17">I38-J38</f>
        <v>49174.925000000003</v>
      </c>
      <c r="L38" s="320">
        <f t="shared" ref="L38:L56" si="18">IF((K38-D38*G38)&gt;0,D38*G38,K38)</f>
        <v>1335.075</v>
      </c>
      <c r="M38" s="320">
        <f t="shared" si="15"/>
        <v>47839.850000000006</v>
      </c>
    </row>
    <row r="39" spans="1:19" s="530" customFormat="1" ht="12.75" customHeight="1" x14ac:dyDescent="0.25">
      <c r="A39" s="142" t="s">
        <v>108</v>
      </c>
      <c r="B39" s="114" t="s">
        <v>856</v>
      </c>
      <c r="C39" s="309">
        <v>45626</v>
      </c>
      <c r="D39" s="312">
        <v>24273</v>
      </c>
      <c r="E39" s="312"/>
      <c r="F39" s="445">
        <f t="shared" si="16"/>
        <v>24273</v>
      </c>
      <c r="G39" s="303">
        <v>2.5000000000000001E-2</v>
      </c>
      <c r="H39" s="312">
        <v>1315</v>
      </c>
      <c r="I39" s="318">
        <f t="shared" si="13"/>
        <v>22958</v>
      </c>
      <c r="J39" s="318">
        <f t="shared" si="14"/>
        <v>606.82500000000005</v>
      </c>
      <c r="K39" s="319">
        <f t="shared" si="17"/>
        <v>22351.174999999999</v>
      </c>
      <c r="L39" s="320">
        <f t="shared" si="18"/>
        <v>606.82500000000005</v>
      </c>
      <c r="M39" s="320">
        <f t="shared" si="15"/>
        <v>21744.35</v>
      </c>
    </row>
    <row r="40" spans="1:19" s="530" customFormat="1" ht="12.75" customHeight="1" outlineLevel="1" x14ac:dyDescent="0.25">
      <c r="A40" s="142" t="s">
        <v>230</v>
      </c>
      <c r="B40" s="113" t="s">
        <v>874</v>
      </c>
      <c r="C40" s="309">
        <v>45981</v>
      </c>
      <c r="D40" s="312">
        <v>48593.945</v>
      </c>
      <c r="E40" s="312">
        <v>7408.8979447330694</v>
      </c>
      <c r="F40" s="445">
        <f t="shared" si="16"/>
        <v>41185.047055266929</v>
      </c>
      <c r="G40" s="303">
        <v>0.05</v>
      </c>
      <c r="H40" s="312">
        <f>SUM(D40*G40/12)</f>
        <v>202.47477083333334</v>
      </c>
      <c r="I40" s="318">
        <f t="shared" si="13"/>
        <v>48391.470229166669</v>
      </c>
      <c r="J40" s="318">
        <f t="shared" si="14"/>
        <v>2429.6972500000002</v>
      </c>
      <c r="K40" s="319">
        <f t="shared" si="17"/>
        <v>45961.772979166672</v>
      </c>
      <c r="L40" s="320">
        <f t="shared" si="18"/>
        <v>2429.6972500000002</v>
      </c>
      <c r="M40" s="320">
        <f t="shared" si="15"/>
        <v>43532.075729166674</v>
      </c>
    </row>
    <row r="41" spans="1:19" s="530" customFormat="1" ht="12.75" customHeight="1" outlineLevel="1" x14ac:dyDescent="0.25">
      <c r="A41" s="142" t="s">
        <v>231</v>
      </c>
      <c r="B41" s="114"/>
      <c r="C41" s="309"/>
      <c r="D41" s="312"/>
      <c r="E41" s="312"/>
      <c r="F41" s="445">
        <f t="shared" si="16"/>
        <v>0</v>
      </c>
      <c r="G41" s="303"/>
      <c r="H41" s="312"/>
      <c r="I41" s="318">
        <f t="shared" si="13"/>
        <v>0</v>
      </c>
      <c r="J41" s="318">
        <f t="shared" si="14"/>
        <v>0</v>
      </c>
      <c r="K41" s="319">
        <f t="shared" si="17"/>
        <v>0</v>
      </c>
      <c r="L41" s="320">
        <f t="shared" si="18"/>
        <v>0</v>
      </c>
      <c r="M41" s="320">
        <f t="shared" si="15"/>
        <v>0</v>
      </c>
    </row>
    <row r="42" spans="1:19" s="530" customFormat="1" ht="12.75" customHeight="1" outlineLevel="1" x14ac:dyDescent="0.25">
      <c r="A42" s="142" t="s">
        <v>232</v>
      </c>
      <c r="B42" s="114"/>
      <c r="C42" s="309"/>
      <c r="D42" s="312"/>
      <c r="E42" s="312"/>
      <c r="F42" s="445">
        <f t="shared" si="16"/>
        <v>0</v>
      </c>
      <c r="G42" s="303"/>
      <c r="H42" s="312"/>
      <c r="I42" s="318">
        <f t="shared" si="13"/>
        <v>0</v>
      </c>
      <c r="J42" s="318">
        <f t="shared" si="14"/>
        <v>0</v>
      </c>
      <c r="K42" s="319">
        <f t="shared" si="17"/>
        <v>0</v>
      </c>
      <c r="L42" s="320">
        <f t="shared" si="18"/>
        <v>0</v>
      </c>
      <c r="M42" s="320">
        <f t="shared" si="15"/>
        <v>0</v>
      </c>
    </row>
    <row r="43" spans="1:19" s="530" customFormat="1" ht="12.75" customHeight="1" outlineLevel="1" x14ac:dyDescent="0.25">
      <c r="A43" s="142" t="s">
        <v>233</v>
      </c>
      <c r="B43" s="114"/>
      <c r="C43" s="309"/>
      <c r="D43" s="312"/>
      <c r="E43" s="312"/>
      <c r="F43" s="445">
        <f t="shared" si="16"/>
        <v>0</v>
      </c>
      <c r="G43" s="303"/>
      <c r="H43" s="312"/>
      <c r="I43" s="318">
        <f t="shared" si="13"/>
        <v>0</v>
      </c>
      <c r="J43" s="318">
        <f t="shared" si="14"/>
        <v>0</v>
      </c>
      <c r="K43" s="319">
        <f t="shared" si="17"/>
        <v>0</v>
      </c>
      <c r="L43" s="320">
        <f t="shared" si="18"/>
        <v>0</v>
      </c>
      <c r="M43" s="320">
        <f t="shared" si="15"/>
        <v>0</v>
      </c>
    </row>
    <row r="44" spans="1:19" s="530" customFormat="1" ht="12.75" customHeight="1" outlineLevel="1" x14ac:dyDescent="0.25">
      <c r="A44" s="142" t="s">
        <v>234</v>
      </c>
      <c r="B44" s="114"/>
      <c r="C44" s="309"/>
      <c r="D44" s="312"/>
      <c r="E44" s="312"/>
      <c r="F44" s="445">
        <f t="shared" si="16"/>
        <v>0</v>
      </c>
      <c r="G44" s="303"/>
      <c r="H44" s="312"/>
      <c r="I44" s="318">
        <f t="shared" si="13"/>
        <v>0</v>
      </c>
      <c r="J44" s="318">
        <f t="shared" si="14"/>
        <v>0</v>
      </c>
      <c r="K44" s="319">
        <f t="shared" si="17"/>
        <v>0</v>
      </c>
      <c r="L44" s="320">
        <f t="shared" si="18"/>
        <v>0</v>
      </c>
      <c r="M44" s="320">
        <f t="shared" si="15"/>
        <v>0</v>
      </c>
    </row>
    <row r="45" spans="1:19" s="530" customFormat="1" ht="12.75" customHeight="1" outlineLevel="1" x14ac:dyDescent="0.25">
      <c r="A45" s="142" t="s">
        <v>235</v>
      </c>
      <c r="B45" s="114"/>
      <c r="C45" s="309"/>
      <c r="D45" s="312"/>
      <c r="E45" s="312"/>
      <c r="F45" s="445">
        <f t="shared" si="16"/>
        <v>0</v>
      </c>
      <c r="G45" s="303"/>
      <c r="H45" s="312"/>
      <c r="I45" s="318">
        <f t="shared" si="13"/>
        <v>0</v>
      </c>
      <c r="J45" s="318">
        <f t="shared" si="14"/>
        <v>0</v>
      </c>
      <c r="K45" s="319">
        <f t="shared" si="17"/>
        <v>0</v>
      </c>
      <c r="L45" s="320">
        <f t="shared" si="18"/>
        <v>0</v>
      </c>
      <c r="M45" s="320">
        <f t="shared" si="15"/>
        <v>0</v>
      </c>
    </row>
    <row r="46" spans="1:19" s="530" customFormat="1" ht="12.75" customHeight="1" outlineLevel="1" x14ac:dyDescent="0.25">
      <c r="A46" s="142" t="s">
        <v>236</v>
      </c>
      <c r="B46" s="114"/>
      <c r="C46" s="309"/>
      <c r="D46" s="312"/>
      <c r="E46" s="312"/>
      <c r="F46" s="445">
        <f t="shared" si="16"/>
        <v>0</v>
      </c>
      <c r="G46" s="303"/>
      <c r="H46" s="312"/>
      <c r="I46" s="318">
        <f t="shared" si="13"/>
        <v>0</v>
      </c>
      <c r="J46" s="318">
        <f t="shared" si="14"/>
        <v>0</v>
      </c>
      <c r="K46" s="319">
        <f t="shared" si="17"/>
        <v>0</v>
      </c>
      <c r="L46" s="320">
        <f t="shared" si="18"/>
        <v>0</v>
      </c>
      <c r="M46" s="320">
        <f t="shared" si="15"/>
        <v>0</v>
      </c>
    </row>
    <row r="47" spans="1:19" s="530" customFormat="1" ht="12.75" customHeight="1" outlineLevel="1" x14ac:dyDescent="0.25">
      <c r="A47" s="142" t="s">
        <v>275</v>
      </c>
      <c r="B47" s="114"/>
      <c r="C47" s="309"/>
      <c r="D47" s="312"/>
      <c r="E47" s="312"/>
      <c r="F47" s="445">
        <f t="shared" si="16"/>
        <v>0</v>
      </c>
      <c r="G47" s="303"/>
      <c r="H47" s="312"/>
      <c r="I47" s="318">
        <f t="shared" si="13"/>
        <v>0</v>
      </c>
      <c r="J47" s="318">
        <f t="shared" si="14"/>
        <v>0</v>
      </c>
      <c r="K47" s="319">
        <f t="shared" si="17"/>
        <v>0</v>
      </c>
      <c r="L47" s="320">
        <f t="shared" si="18"/>
        <v>0</v>
      </c>
      <c r="M47" s="320">
        <f t="shared" si="15"/>
        <v>0</v>
      </c>
    </row>
    <row r="48" spans="1:19" s="530" customFormat="1" ht="12.75" customHeight="1" outlineLevel="1" x14ac:dyDescent="0.25">
      <c r="A48" s="142" t="s">
        <v>276</v>
      </c>
      <c r="B48" s="114"/>
      <c r="C48" s="309"/>
      <c r="D48" s="312"/>
      <c r="E48" s="312"/>
      <c r="F48" s="445">
        <f t="shared" si="16"/>
        <v>0</v>
      </c>
      <c r="G48" s="303"/>
      <c r="H48" s="312"/>
      <c r="I48" s="318">
        <f t="shared" si="13"/>
        <v>0</v>
      </c>
      <c r="J48" s="318">
        <f t="shared" si="14"/>
        <v>0</v>
      </c>
      <c r="K48" s="319">
        <f t="shared" si="17"/>
        <v>0</v>
      </c>
      <c r="L48" s="320">
        <f t="shared" si="18"/>
        <v>0</v>
      </c>
      <c r="M48" s="320">
        <f t="shared" si="15"/>
        <v>0</v>
      </c>
    </row>
    <row r="49" spans="1:19" s="530" customFormat="1" ht="12.75" customHeight="1" outlineLevel="1" x14ac:dyDescent="0.25">
      <c r="A49" s="142" t="s">
        <v>277</v>
      </c>
      <c r="B49" s="114"/>
      <c r="C49" s="309"/>
      <c r="D49" s="312"/>
      <c r="E49" s="312"/>
      <c r="F49" s="445">
        <f t="shared" si="16"/>
        <v>0</v>
      </c>
      <c r="G49" s="303"/>
      <c r="H49" s="312"/>
      <c r="I49" s="318">
        <f t="shared" si="13"/>
        <v>0</v>
      </c>
      <c r="J49" s="318">
        <f t="shared" si="14"/>
        <v>0</v>
      </c>
      <c r="K49" s="319">
        <f t="shared" si="17"/>
        <v>0</v>
      </c>
      <c r="L49" s="320">
        <f t="shared" si="18"/>
        <v>0</v>
      </c>
      <c r="M49" s="320">
        <f t="shared" si="15"/>
        <v>0</v>
      </c>
    </row>
    <row r="50" spans="1:19" s="530" customFormat="1" ht="12.75" customHeight="1" outlineLevel="1" x14ac:dyDescent="0.25">
      <c r="A50" s="142" t="s">
        <v>278</v>
      </c>
      <c r="B50" s="114"/>
      <c r="C50" s="309"/>
      <c r="D50" s="312"/>
      <c r="E50" s="312"/>
      <c r="F50" s="445">
        <f t="shared" si="16"/>
        <v>0</v>
      </c>
      <c r="G50" s="303"/>
      <c r="H50" s="312"/>
      <c r="I50" s="318">
        <f t="shared" si="13"/>
        <v>0</v>
      </c>
      <c r="J50" s="318">
        <f t="shared" si="14"/>
        <v>0</v>
      </c>
      <c r="K50" s="319">
        <f t="shared" si="17"/>
        <v>0</v>
      </c>
      <c r="L50" s="320">
        <f t="shared" si="18"/>
        <v>0</v>
      </c>
      <c r="M50" s="320">
        <f t="shared" si="15"/>
        <v>0</v>
      </c>
    </row>
    <row r="51" spans="1:19" s="530" customFormat="1" ht="12.75" customHeight="1" outlineLevel="1" x14ac:dyDescent="0.25">
      <c r="A51" s="142" t="s">
        <v>279</v>
      </c>
      <c r="B51" s="114"/>
      <c r="C51" s="309"/>
      <c r="D51" s="312"/>
      <c r="E51" s="312"/>
      <c r="F51" s="445">
        <f t="shared" si="16"/>
        <v>0</v>
      </c>
      <c r="G51" s="303"/>
      <c r="H51" s="312"/>
      <c r="I51" s="318">
        <f t="shared" si="13"/>
        <v>0</v>
      </c>
      <c r="J51" s="318">
        <f t="shared" si="14"/>
        <v>0</v>
      </c>
      <c r="K51" s="319">
        <f t="shared" si="17"/>
        <v>0</v>
      </c>
      <c r="L51" s="320">
        <f t="shared" si="18"/>
        <v>0</v>
      </c>
      <c r="M51" s="320">
        <f t="shared" si="15"/>
        <v>0</v>
      </c>
    </row>
    <row r="52" spans="1:19" s="530" customFormat="1" ht="12.75" customHeight="1" outlineLevel="1" x14ac:dyDescent="0.25">
      <c r="A52" s="142" t="s">
        <v>280</v>
      </c>
      <c r="B52" s="114"/>
      <c r="C52" s="309"/>
      <c r="D52" s="312"/>
      <c r="E52" s="312"/>
      <c r="F52" s="445">
        <f t="shared" si="16"/>
        <v>0</v>
      </c>
      <c r="G52" s="303"/>
      <c r="H52" s="312"/>
      <c r="I52" s="318">
        <f t="shared" si="13"/>
        <v>0</v>
      </c>
      <c r="J52" s="318">
        <f t="shared" si="14"/>
        <v>0</v>
      </c>
      <c r="K52" s="319">
        <f t="shared" si="17"/>
        <v>0</v>
      </c>
      <c r="L52" s="320">
        <f t="shared" si="18"/>
        <v>0</v>
      </c>
      <c r="M52" s="320">
        <f t="shared" si="15"/>
        <v>0</v>
      </c>
    </row>
    <row r="53" spans="1:19" s="530" customFormat="1" ht="12.75" customHeight="1" outlineLevel="1" x14ac:dyDescent="0.25">
      <c r="A53" s="142" t="s">
        <v>281</v>
      </c>
      <c r="B53" s="114"/>
      <c r="C53" s="309"/>
      <c r="D53" s="312"/>
      <c r="E53" s="312"/>
      <c r="F53" s="445">
        <f t="shared" si="16"/>
        <v>0</v>
      </c>
      <c r="G53" s="303"/>
      <c r="H53" s="312"/>
      <c r="I53" s="318">
        <f t="shared" si="13"/>
        <v>0</v>
      </c>
      <c r="J53" s="318">
        <f t="shared" si="14"/>
        <v>0</v>
      </c>
      <c r="K53" s="319">
        <f t="shared" si="17"/>
        <v>0</v>
      </c>
      <c r="L53" s="320">
        <f t="shared" si="18"/>
        <v>0</v>
      </c>
      <c r="M53" s="320">
        <f t="shared" si="15"/>
        <v>0</v>
      </c>
    </row>
    <row r="54" spans="1:19" s="530" customFormat="1" ht="12.75" customHeight="1" outlineLevel="1" x14ac:dyDescent="0.25">
      <c r="A54" s="142" t="s">
        <v>282</v>
      </c>
      <c r="B54" s="114"/>
      <c r="C54" s="309"/>
      <c r="D54" s="312"/>
      <c r="E54" s="312"/>
      <c r="F54" s="445">
        <f t="shared" si="16"/>
        <v>0</v>
      </c>
      <c r="G54" s="303"/>
      <c r="H54" s="312"/>
      <c r="I54" s="318">
        <f t="shared" si="13"/>
        <v>0</v>
      </c>
      <c r="J54" s="318">
        <f t="shared" si="14"/>
        <v>0</v>
      </c>
      <c r="K54" s="319">
        <f t="shared" si="17"/>
        <v>0</v>
      </c>
      <c r="L54" s="320">
        <f t="shared" si="18"/>
        <v>0</v>
      </c>
      <c r="M54" s="320">
        <f t="shared" si="15"/>
        <v>0</v>
      </c>
    </row>
    <row r="55" spans="1:19" s="530" customFormat="1" ht="12.75" customHeight="1" outlineLevel="1" x14ac:dyDescent="0.25">
      <c r="A55" s="142" t="s">
        <v>283</v>
      </c>
      <c r="B55" s="114"/>
      <c r="C55" s="309"/>
      <c r="D55" s="312"/>
      <c r="E55" s="312"/>
      <c r="F55" s="445">
        <f t="shared" si="16"/>
        <v>0</v>
      </c>
      <c r="G55" s="303"/>
      <c r="H55" s="312"/>
      <c r="I55" s="318">
        <f t="shared" si="13"/>
        <v>0</v>
      </c>
      <c r="J55" s="318">
        <f t="shared" si="14"/>
        <v>0</v>
      </c>
      <c r="K55" s="319">
        <f t="shared" si="17"/>
        <v>0</v>
      </c>
      <c r="L55" s="320">
        <f t="shared" si="18"/>
        <v>0</v>
      </c>
      <c r="M55" s="320">
        <f t="shared" si="15"/>
        <v>0</v>
      </c>
    </row>
    <row r="56" spans="1:19" s="530" customFormat="1" ht="12.75" customHeight="1" outlineLevel="1" x14ac:dyDescent="0.25">
      <c r="A56" s="539" t="s">
        <v>284</v>
      </c>
      <c r="B56" s="171"/>
      <c r="C56" s="310"/>
      <c r="D56" s="314"/>
      <c r="E56" s="314"/>
      <c r="F56" s="445">
        <f t="shared" si="16"/>
        <v>0</v>
      </c>
      <c r="G56" s="304"/>
      <c r="H56" s="314"/>
      <c r="I56" s="321">
        <f t="shared" si="13"/>
        <v>0</v>
      </c>
      <c r="J56" s="321">
        <f t="shared" si="14"/>
        <v>0</v>
      </c>
      <c r="K56" s="322">
        <f t="shared" si="17"/>
        <v>0</v>
      </c>
      <c r="L56" s="323">
        <f t="shared" si="18"/>
        <v>0</v>
      </c>
      <c r="M56" s="323">
        <f t="shared" si="15"/>
        <v>0</v>
      </c>
    </row>
    <row r="57" spans="1:19" s="530" customFormat="1" ht="12.75" customHeight="1" x14ac:dyDescent="0.25">
      <c r="A57" s="292" t="s">
        <v>115</v>
      </c>
      <c r="B57" s="779" t="s">
        <v>220</v>
      </c>
      <c r="C57" s="780"/>
      <c r="D57" s="780"/>
      <c r="E57" s="780"/>
      <c r="F57" s="780"/>
      <c r="G57" s="780"/>
      <c r="H57" s="780"/>
      <c r="I57" s="780"/>
      <c r="J57" s="780"/>
      <c r="K57" s="780"/>
      <c r="L57" s="780"/>
      <c r="M57" s="781"/>
      <c r="S57" s="523"/>
    </row>
    <row r="58" spans="1:19" s="530" customFormat="1" ht="12.75" customHeight="1" x14ac:dyDescent="0.25">
      <c r="A58" s="142" t="s">
        <v>117</v>
      </c>
      <c r="B58" s="114" t="s">
        <v>854</v>
      </c>
      <c r="C58" s="308">
        <v>41213</v>
      </c>
      <c r="D58" s="313">
        <v>49655</v>
      </c>
      <c r="E58" s="313"/>
      <c r="F58" s="445">
        <f>D58-E58</f>
        <v>49655</v>
      </c>
      <c r="G58" s="302">
        <v>5.8999999999999997E-2</v>
      </c>
      <c r="H58" s="313">
        <v>40421.33</v>
      </c>
      <c r="I58" s="315">
        <f t="shared" ref="I58:I77" si="19">D58-H58</f>
        <v>9233.6699999999983</v>
      </c>
      <c r="J58" s="315">
        <f t="shared" ref="J58:J77" si="20">IF((I58-D58*G58)&gt;0,D58*G58,I58)</f>
        <v>2929.645</v>
      </c>
      <c r="K58" s="316">
        <f>I58-J58</f>
        <v>6304.0249999999978</v>
      </c>
      <c r="L58" s="317">
        <f t="shared" ref="L58:L77" si="21">IF((K58-D58*G58)&gt;0,D58*G58,K58)</f>
        <v>2929.645</v>
      </c>
      <c r="M58" s="317">
        <f t="shared" ref="M58:M77" si="22">K58-L58</f>
        <v>3374.3799999999978</v>
      </c>
    </row>
    <row r="59" spans="1:19" ht="12.75" customHeight="1" x14ac:dyDescent="0.25">
      <c r="A59" s="142" t="s">
        <v>120</v>
      </c>
      <c r="B59" s="114"/>
      <c r="C59" s="309"/>
      <c r="D59" s="312"/>
      <c r="E59" s="312"/>
      <c r="F59" s="445">
        <f t="shared" ref="F59:F77" si="23">D59-E59</f>
        <v>0</v>
      </c>
      <c r="G59" s="303"/>
      <c r="H59" s="312"/>
      <c r="I59" s="318">
        <f t="shared" si="19"/>
        <v>0</v>
      </c>
      <c r="J59" s="318">
        <f t="shared" si="20"/>
        <v>0</v>
      </c>
      <c r="K59" s="319">
        <f t="shared" ref="K59:K77" si="24">I59-J59</f>
        <v>0</v>
      </c>
      <c r="L59" s="320">
        <f t="shared" si="21"/>
        <v>0</v>
      </c>
      <c r="M59" s="320">
        <f t="shared" si="22"/>
        <v>0</v>
      </c>
    </row>
    <row r="60" spans="1:19" ht="12.75" customHeight="1" x14ac:dyDescent="0.25">
      <c r="A60" s="142" t="s">
        <v>121</v>
      </c>
      <c r="B60" s="114"/>
      <c r="C60" s="309"/>
      <c r="D60" s="312"/>
      <c r="E60" s="312"/>
      <c r="F60" s="445">
        <f t="shared" si="23"/>
        <v>0</v>
      </c>
      <c r="G60" s="303"/>
      <c r="H60" s="312"/>
      <c r="I60" s="318">
        <f t="shared" si="19"/>
        <v>0</v>
      </c>
      <c r="J60" s="318">
        <f t="shared" si="20"/>
        <v>0</v>
      </c>
      <c r="K60" s="319">
        <f t="shared" si="24"/>
        <v>0</v>
      </c>
      <c r="L60" s="320">
        <f t="shared" si="21"/>
        <v>0</v>
      </c>
      <c r="M60" s="320">
        <f t="shared" si="22"/>
        <v>0</v>
      </c>
    </row>
    <row r="61" spans="1:19" ht="12.75" hidden="1" customHeight="1" outlineLevel="1" x14ac:dyDescent="0.25">
      <c r="A61" s="142" t="s">
        <v>122</v>
      </c>
      <c r="B61" s="114"/>
      <c r="C61" s="309"/>
      <c r="D61" s="312"/>
      <c r="E61" s="312"/>
      <c r="F61" s="445">
        <f t="shared" si="23"/>
        <v>0</v>
      </c>
      <c r="G61" s="303"/>
      <c r="H61" s="312"/>
      <c r="I61" s="318">
        <f t="shared" si="19"/>
        <v>0</v>
      </c>
      <c r="J61" s="318">
        <f t="shared" si="20"/>
        <v>0</v>
      </c>
      <c r="K61" s="319">
        <f t="shared" si="24"/>
        <v>0</v>
      </c>
      <c r="L61" s="320">
        <f t="shared" si="21"/>
        <v>0</v>
      </c>
      <c r="M61" s="320">
        <f t="shared" si="22"/>
        <v>0</v>
      </c>
    </row>
    <row r="62" spans="1:19" s="146" customFormat="1" ht="12.75" hidden="1" customHeight="1" outlineLevel="1" x14ac:dyDescent="0.25">
      <c r="A62" s="142" t="s">
        <v>123</v>
      </c>
      <c r="B62" s="114"/>
      <c r="C62" s="309"/>
      <c r="D62" s="312"/>
      <c r="E62" s="312"/>
      <c r="F62" s="445">
        <f t="shared" si="23"/>
        <v>0</v>
      </c>
      <c r="G62" s="303"/>
      <c r="H62" s="312"/>
      <c r="I62" s="318">
        <f t="shared" si="19"/>
        <v>0</v>
      </c>
      <c r="J62" s="318">
        <f t="shared" si="20"/>
        <v>0</v>
      </c>
      <c r="K62" s="319">
        <f t="shared" si="24"/>
        <v>0</v>
      </c>
      <c r="L62" s="320">
        <f t="shared" si="21"/>
        <v>0</v>
      </c>
      <c r="M62" s="320">
        <f t="shared" si="22"/>
        <v>0</v>
      </c>
    </row>
    <row r="63" spans="1:19" s="146" customFormat="1" ht="12.75" hidden="1" customHeight="1" outlineLevel="1" x14ac:dyDescent="0.25">
      <c r="A63" s="142" t="s">
        <v>148</v>
      </c>
      <c r="B63" s="114"/>
      <c r="C63" s="309"/>
      <c r="D63" s="312"/>
      <c r="E63" s="312"/>
      <c r="F63" s="445">
        <f t="shared" si="23"/>
        <v>0</v>
      </c>
      <c r="G63" s="303"/>
      <c r="H63" s="312"/>
      <c r="I63" s="318">
        <f t="shared" si="19"/>
        <v>0</v>
      </c>
      <c r="J63" s="318">
        <f t="shared" si="20"/>
        <v>0</v>
      </c>
      <c r="K63" s="319">
        <f t="shared" si="24"/>
        <v>0</v>
      </c>
      <c r="L63" s="320">
        <f t="shared" si="21"/>
        <v>0</v>
      </c>
      <c r="M63" s="320">
        <f t="shared" si="22"/>
        <v>0</v>
      </c>
    </row>
    <row r="64" spans="1:19" s="146" customFormat="1" ht="12.75" hidden="1" customHeight="1" outlineLevel="1" x14ac:dyDescent="0.25">
      <c r="A64" s="142" t="s">
        <v>153</v>
      </c>
      <c r="B64" s="114"/>
      <c r="C64" s="309"/>
      <c r="D64" s="312"/>
      <c r="E64" s="312"/>
      <c r="F64" s="445">
        <f t="shared" si="23"/>
        <v>0</v>
      </c>
      <c r="G64" s="303"/>
      <c r="H64" s="312"/>
      <c r="I64" s="318">
        <f t="shared" si="19"/>
        <v>0</v>
      </c>
      <c r="J64" s="318">
        <f t="shared" si="20"/>
        <v>0</v>
      </c>
      <c r="K64" s="319">
        <f t="shared" si="24"/>
        <v>0</v>
      </c>
      <c r="L64" s="320">
        <f t="shared" si="21"/>
        <v>0</v>
      </c>
      <c r="M64" s="320">
        <f t="shared" si="22"/>
        <v>0</v>
      </c>
    </row>
    <row r="65" spans="1:14" s="146" customFormat="1" ht="12.75" hidden="1" customHeight="1" outlineLevel="1" x14ac:dyDescent="0.25">
      <c r="A65" s="142" t="s">
        <v>237</v>
      </c>
      <c r="B65" s="114"/>
      <c r="C65" s="309"/>
      <c r="D65" s="312"/>
      <c r="E65" s="312"/>
      <c r="F65" s="445">
        <f t="shared" si="23"/>
        <v>0</v>
      </c>
      <c r="G65" s="303"/>
      <c r="H65" s="312"/>
      <c r="I65" s="318">
        <f t="shared" si="19"/>
        <v>0</v>
      </c>
      <c r="J65" s="318">
        <f>IF((I65-D65*G65)&gt;0,D65*G65,I65)</f>
        <v>0</v>
      </c>
      <c r="K65" s="319">
        <f t="shared" si="24"/>
        <v>0</v>
      </c>
      <c r="L65" s="320">
        <f>IF((K65-D65*G65)&gt;0,D65*G65,K65)</f>
        <v>0</v>
      </c>
      <c r="M65" s="320">
        <f t="shared" si="22"/>
        <v>0</v>
      </c>
    </row>
    <row r="66" spans="1:14" s="146" customFormat="1" ht="12.75" hidden="1" customHeight="1" outlineLevel="1" x14ac:dyDescent="0.25">
      <c r="A66" s="142" t="s">
        <v>238</v>
      </c>
      <c r="B66" s="114"/>
      <c r="C66" s="309"/>
      <c r="D66" s="312"/>
      <c r="E66" s="312"/>
      <c r="F66" s="445">
        <f t="shared" si="23"/>
        <v>0</v>
      </c>
      <c r="G66" s="303"/>
      <c r="H66" s="312"/>
      <c r="I66" s="318">
        <f t="shared" si="19"/>
        <v>0</v>
      </c>
      <c r="J66" s="318">
        <f t="shared" si="20"/>
        <v>0</v>
      </c>
      <c r="K66" s="319">
        <f t="shared" si="24"/>
        <v>0</v>
      </c>
      <c r="L66" s="320">
        <f t="shared" si="21"/>
        <v>0</v>
      </c>
      <c r="M66" s="320">
        <f t="shared" si="22"/>
        <v>0</v>
      </c>
    </row>
    <row r="67" spans="1:14" s="146" customFormat="1" ht="12.75" hidden="1" customHeight="1" outlineLevel="1" x14ac:dyDescent="0.25">
      <c r="A67" s="142" t="s">
        <v>239</v>
      </c>
      <c r="B67" s="114"/>
      <c r="C67" s="309"/>
      <c r="D67" s="312"/>
      <c r="E67" s="312"/>
      <c r="F67" s="445">
        <f t="shared" si="23"/>
        <v>0</v>
      </c>
      <c r="G67" s="303"/>
      <c r="H67" s="312"/>
      <c r="I67" s="318">
        <f t="shared" si="19"/>
        <v>0</v>
      </c>
      <c r="J67" s="318">
        <f t="shared" si="20"/>
        <v>0</v>
      </c>
      <c r="K67" s="319">
        <f t="shared" si="24"/>
        <v>0</v>
      </c>
      <c r="L67" s="320">
        <f t="shared" si="21"/>
        <v>0</v>
      </c>
      <c r="M67" s="320">
        <f t="shared" si="22"/>
        <v>0</v>
      </c>
    </row>
    <row r="68" spans="1:14" s="146" customFormat="1" ht="12.75" hidden="1" customHeight="1" outlineLevel="1" x14ac:dyDescent="0.25">
      <c r="A68" s="142" t="s">
        <v>369</v>
      </c>
      <c r="B68" s="114"/>
      <c r="C68" s="309"/>
      <c r="D68" s="312"/>
      <c r="E68" s="312"/>
      <c r="F68" s="445">
        <f t="shared" si="23"/>
        <v>0</v>
      </c>
      <c r="G68" s="303"/>
      <c r="H68" s="312"/>
      <c r="I68" s="318">
        <f t="shared" si="19"/>
        <v>0</v>
      </c>
      <c r="J68" s="318">
        <f t="shared" si="20"/>
        <v>0</v>
      </c>
      <c r="K68" s="319">
        <f t="shared" si="24"/>
        <v>0</v>
      </c>
      <c r="L68" s="320">
        <f t="shared" si="21"/>
        <v>0</v>
      </c>
      <c r="M68" s="320">
        <f t="shared" si="22"/>
        <v>0</v>
      </c>
    </row>
    <row r="69" spans="1:14" ht="12.75" hidden="1" customHeight="1" outlineLevel="1" x14ac:dyDescent="0.25">
      <c r="A69" s="142" t="s">
        <v>370</v>
      </c>
      <c r="B69" s="114"/>
      <c r="C69" s="309"/>
      <c r="D69" s="312"/>
      <c r="E69" s="312"/>
      <c r="F69" s="445">
        <f t="shared" si="23"/>
        <v>0</v>
      </c>
      <c r="G69" s="303"/>
      <c r="H69" s="312"/>
      <c r="I69" s="318">
        <f t="shared" si="19"/>
        <v>0</v>
      </c>
      <c r="J69" s="318">
        <f t="shared" si="20"/>
        <v>0</v>
      </c>
      <c r="K69" s="319">
        <f t="shared" si="24"/>
        <v>0</v>
      </c>
      <c r="L69" s="320">
        <f t="shared" si="21"/>
        <v>0</v>
      </c>
      <c r="M69" s="320">
        <f t="shared" si="22"/>
        <v>0</v>
      </c>
    </row>
    <row r="70" spans="1:14" ht="12.75" hidden="1" customHeight="1" outlineLevel="1" x14ac:dyDescent="0.25">
      <c r="A70" s="142" t="s">
        <v>371</v>
      </c>
      <c r="B70" s="114"/>
      <c r="C70" s="309"/>
      <c r="D70" s="312"/>
      <c r="E70" s="312"/>
      <c r="F70" s="445">
        <f t="shared" si="23"/>
        <v>0</v>
      </c>
      <c r="G70" s="303"/>
      <c r="H70" s="312"/>
      <c r="I70" s="318">
        <f t="shared" si="19"/>
        <v>0</v>
      </c>
      <c r="J70" s="318">
        <f t="shared" si="20"/>
        <v>0</v>
      </c>
      <c r="K70" s="319">
        <f t="shared" si="24"/>
        <v>0</v>
      </c>
      <c r="L70" s="320">
        <f t="shared" si="21"/>
        <v>0</v>
      </c>
      <c r="M70" s="320">
        <f t="shared" si="22"/>
        <v>0</v>
      </c>
    </row>
    <row r="71" spans="1:14" ht="12.75" hidden="1" customHeight="1" outlineLevel="1" x14ac:dyDescent="0.25">
      <c r="A71" s="142" t="s">
        <v>372</v>
      </c>
      <c r="B71" s="114"/>
      <c r="C71" s="309"/>
      <c r="D71" s="312"/>
      <c r="E71" s="312"/>
      <c r="F71" s="445">
        <f t="shared" si="23"/>
        <v>0</v>
      </c>
      <c r="G71" s="303"/>
      <c r="H71" s="312"/>
      <c r="I71" s="318">
        <f t="shared" si="19"/>
        <v>0</v>
      </c>
      <c r="J71" s="318">
        <f t="shared" si="20"/>
        <v>0</v>
      </c>
      <c r="K71" s="319">
        <f t="shared" si="24"/>
        <v>0</v>
      </c>
      <c r="L71" s="320">
        <f t="shared" si="21"/>
        <v>0</v>
      </c>
      <c r="M71" s="320">
        <f t="shared" si="22"/>
        <v>0</v>
      </c>
    </row>
    <row r="72" spans="1:14" ht="12.75" hidden="1" customHeight="1" outlineLevel="1" x14ac:dyDescent="0.25">
      <c r="A72" s="142" t="s">
        <v>373</v>
      </c>
      <c r="B72" s="114"/>
      <c r="C72" s="309"/>
      <c r="D72" s="312"/>
      <c r="E72" s="312"/>
      <c r="F72" s="445"/>
      <c r="G72" s="303"/>
      <c r="H72" s="312"/>
      <c r="I72" s="318"/>
      <c r="J72" s="318"/>
      <c r="K72" s="319"/>
      <c r="L72" s="320"/>
      <c r="M72" s="320"/>
    </row>
    <row r="73" spans="1:14" ht="12.75" hidden="1" customHeight="1" outlineLevel="1" x14ac:dyDescent="0.25">
      <c r="A73" s="142" t="s">
        <v>413</v>
      </c>
      <c r="B73" s="114"/>
      <c r="C73" s="309"/>
      <c r="D73" s="312"/>
      <c r="E73" s="312"/>
      <c r="F73" s="445"/>
      <c r="G73" s="303"/>
      <c r="H73" s="312"/>
      <c r="I73" s="318"/>
      <c r="J73" s="318"/>
      <c r="K73" s="319"/>
      <c r="L73" s="320"/>
      <c r="M73" s="320"/>
    </row>
    <row r="74" spans="1:14" ht="12.75" hidden="1" customHeight="1" outlineLevel="1" x14ac:dyDescent="0.25">
      <c r="A74" s="142" t="s">
        <v>414</v>
      </c>
      <c r="B74" s="114"/>
      <c r="C74" s="309"/>
      <c r="D74" s="312"/>
      <c r="E74" s="312"/>
      <c r="F74" s="445"/>
      <c r="G74" s="303"/>
      <c r="H74" s="312"/>
      <c r="I74" s="318"/>
      <c r="J74" s="318"/>
      <c r="K74" s="319"/>
      <c r="L74" s="320"/>
      <c r="M74" s="320"/>
    </row>
    <row r="75" spans="1:14" ht="12.75" hidden="1" customHeight="1" outlineLevel="1" x14ac:dyDescent="0.25">
      <c r="A75" s="142" t="s">
        <v>415</v>
      </c>
      <c r="B75" s="114"/>
      <c r="C75" s="309"/>
      <c r="D75" s="312"/>
      <c r="E75" s="312"/>
      <c r="F75" s="445"/>
      <c r="G75" s="303"/>
      <c r="H75" s="312"/>
      <c r="I75" s="318"/>
      <c r="J75" s="318"/>
      <c r="K75" s="319"/>
      <c r="L75" s="320"/>
      <c r="M75" s="320"/>
    </row>
    <row r="76" spans="1:14" ht="12.75" hidden="1" customHeight="1" outlineLevel="1" x14ac:dyDescent="0.25">
      <c r="A76" s="142" t="s">
        <v>416</v>
      </c>
      <c r="B76" s="114"/>
      <c r="C76" s="309"/>
      <c r="D76" s="312"/>
      <c r="E76" s="312"/>
      <c r="F76" s="445"/>
      <c r="G76" s="303"/>
      <c r="H76" s="312"/>
      <c r="I76" s="318"/>
      <c r="J76" s="318"/>
      <c r="K76" s="319"/>
      <c r="L76" s="320"/>
      <c r="M76" s="320"/>
    </row>
    <row r="77" spans="1:14" ht="12.75" hidden="1" customHeight="1" outlineLevel="1" x14ac:dyDescent="0.25">
      <c r="A77" s="142" t="s">
        <v>737</v>
      </c>
      <c r="B77" s="114"/>
      <c r="C77" s="309"/>
      <c r="D77" s="312"/>
      <c r="E77" s="312"/>
      <c r="F77" s="445">
        <f t="shared" si="23"/>
        <v>0</v>
      </c>
      <c r="G77" s="303"/>
      <c r="H77" s="312"/>
      <c r="I77" s="318">
        <f t="shared" si="19"/>
        <v>0</v>
      </c>
      <c r="J77" s="318">
        <f t="shared" si="20"/>
        <v>0</v>
      </c>
      <c r="K77" s="319">
        <f t="shared" si="24"/>
        <v>0</v>
      </c>
      <c r="L77" s="320">
        <f t="shared" si="21"/>
        <v>0</v>
      </c>
      <c r="M77" s="320">
        <f t="shared" si="22"/>
        <v>0</v>
      </c>
    </row>
    <row r="78" spans="1:14" ht="12.75" customHeight="1" collapsed="1" x14ac:dyDescent="0.25">
      <c r="A78" s="117" t="s">
        <v>335</v>
      </c>
      <c r="B78" s="37" t="s">
        <v>714</v>
      </c>
      <c r="C78" s="719" t="s">
        <v>17</v>
      </c>
      <c r="D78" s="324">
        <f>SUM(D37:D77)</f>
        <v>507503.245</v>
      </c>
      <c r="E78" s="324">
        <f>SUM(E37:E77)</f>
        <v>191227.48794473306</v>
      </c>
      <c r="F78" s="324">
        <f>SUM(F37:F77)</f>
        <v>316275.75705526693</v>
      </c>
      <c r="G78" s="239" t="s">
        <v>17</v>
      </c>
      <c r="H78" s="325">
        <f>SUM(H37:H77)</f>
        <v>168341.98477083334</v>
      </c>
      <c r="I78" s="325">
        <f t="shared" ref="I78:M78" si="25">SUM(I37:I77)</f>
        <v>339161.26022916666</v>
      </c>
      <c r="J78" s="325">
        <f t="shared" si="25"/>
        <v>15590.699750000003</v>
      </c>
      <c r="K78" s="325">
        <f t="shared" si="25"/>
        <v>323570.56047916668</v>
      </c>
      <c r="L78" s="325">
        <f t="shared" si="25"/>
        <v>15590.699750000003</v>
      </c>
      <c r="M78" s="325">
        <f t="shared" si="25"/>
        <v>307979.86072916671</v>
      </c>
    </row>
    <row r="79" spans="1:14" s="146" customFormat="1" ht="24" customHeight="1" x14ac:dyDescent="0.25">
      <c r="A79" s="142" t="s">
        <v>336</v>
      </c>
      <c r="B79" s="65" t="s">
        <v>393</v>
      </c>
      <c r="C79" s="720"/>
      <c r="D79" s="764" t="s">
        <v>17</v>
      </c>
      <c r="E79" s="765"/>
      <c r="F79" s="765"/>
      <c r="G79" s="766"/>
      <c r="H79" s="320">
        <f>E78-I79</f>
        <v>62108.27249535975</v>
      </c>
      <c r="I79" s="312">
        <f>(I38/D38*E38)+(I37/D37*E37)+(I40/D40*E40)</f>
        <v>129119.21544937331</v>
      </c>
      <c r="J79" s="312">
        <f>(E38*G38)+(E37*G37)+(G40*E40)</f>
        <v>4965.9096472366537</v>
      </c>
      <c r="K79" s="326">
        <f>I79-J79</f>
        <v>124153.30580213666</v>
      </c>
      <c r="L79" s="335">
        <f>J79</f>
        <v>4965.9096472366537</v>
      </c>
      <c r="M79" s="327">
        <f>K79-L79</f>
        <v>119187.39615490001</v>
      </c>
    </row>
    <row r="80" spans="1:14" s="111" customFormat="1" ht="12.75" customHeight="1" x14ac:dyDescent="0.25">
      <c r="A80" s="167" t="s">
        <v>423</v>
      </c>
      <c r="B80" s="168" t="s">
        <v>713</v>
      </c>
      <c r="C80" s="721"/>
      <c r="D80" s="339">
        <f>D78-E78</f>
        <v>316275.75705526693</v>
      </c>
      <c r="E80" s="764" t="s">
        <v>17</v>
      </c>
      <c r="F80" s="765"/>
      <c r="G80" s="766"/>
      <c r="H80" s="328">
        <f>H78-H79</f>
        <v>106233.71227547359</v>
      </c>
      <c r="I80" s="324">
        <f t="shared" ref="I80:M80" si="26">I78-I79</f>
        <v>210042.04477979336</v>
      </c>
      <c r="J80" s="324">
        <f t="shared" si="26"/>
        <v>10624.790102763349</v>
      </c>
      <c r="K80" s="324">
        <f t="shared" si="26"/>
        <v>199417.25467703003</v>
      </c>
      <c r="L80" s="324">
        <f t="shared" si="26"/>
        <v>10624.790102763349</v>
      </c>
      <c r="M80" s="324">
        <f t="shared" si="26"/>
        <v>188792.46457426669</v>
      </c>
      <c r="N80" s="147"/>
    </row>
    <row r="81" spans="1:19" s="131" customFormat="1" ht="12.75" customHeight="1" x14ac:dyDescent="0.2">
      <c r="A81" s="456" t="s">
        <v>699</v>
      </c>
      <c r="B81" s="457" t="s">
        <v>724</v>
      </c>
      <c r="C81" s="458" t="s">
        <v>17</v>
      </c>
      <c r="D81" s="459">
        <f>D34+D80</f>
        <v>1790074.2208748802</v>
      </c>
      <c r="E81" s="770" t="s">
        <v>17</v>
      </c>
      <c r="F81" s="771"/>
      <c r="G81" s="772"/>
      <c r="H81" s="460">
        <f t="shared" ref="H81:M81" si="27">H34+H80</f>
        <v>111139.02071204393</v>
      </c>
      <c r="I81" s="461">
        <f t="shared" si="27"/>
        <v>1678935.192218103</v>
      </c>
      <c r="J81" s="461">
        <f t="shared" si="27"/>
        <v>69488.541341607357</v>
      </c>
      <c r="K81" s="461">
        <f t="shared" si="27"/>
        <v>1609446.6508764958</v>
      </c>
      <c r="L81" s="461">
        <f t="shared" si="27"/>
        <v>69488.541341607357</v>
      </c>
      <c r="M81" s="461">
        <f t="shared" si="27"/>
        <v>1539958.1095348885</v>
      </c>
      <c r="N81" s="462"/>
    </row>
    <row r="82" spans="1:19" ht="12.75" customHeight="1" x14ac:dyDescent="0.25">
      <c r="A82" s="737"/>
      <c r="B82" s="737"/>
      <c r="C82" s="737"/>
      <c r="D82" s="737"/>
      <c r="E82" s="737"/>
      <c r="F82" s="737"/>
      <c r="G82" s="737"/>
      <c r="H82" s="737"/>
      <c r="I82" s="737"/>
      <c r="J82" s="737"/>
      <c r="K82" s="737"/>
      <c r="L82" s="737"/>
      <c r="M82" s="737"/>
    </row>
    <row r="83" spans="1:19" ht="12.75" customHeight="1" x14ac:dyDescent="0.25">
      <c r="A83" s="292" t="s">
        <v>125</v>
      </c>
      <c r="B83" s="718" t="s">
        <v>421</v>
      </c>
      <c r="C83" s="718"/>
      <c r="D83" s="718"/>
      <c r="E83" s="718"/>
      <c r="F83" s="718"/>
      <c r="G83" s="718"/>
      <c r="H83" s="718"/>
      <c r="I83" s="718"/>
      <c r="J83" s="718"/>
      <c r="K83" s="718"/>
      <c r="L83" s="718"/>
      <c r="M83" s="718"/>
    </row>
    <row r="84" spans="1:19" ht="12.75" customHeight="1" x14ac:dyDescent="0.25">
      <c r="A84" s="142" t="s">
        <v>156</v>
      </c>
      <c r="B84" s="114"/>
      <c r="C84" s="446"/>
      <c r="D84" s="313"/>
      <c r="E84" s="313"/>
      <c r="F84" s="445">
        <f>D84-E84</f>
        <v>0</v>
      </c>
      <c r="G84" s="302"/>
      <c r="H84" s="741" t="s">
        <v>17</v>
      </c>
      <c r="I84" s="742"/>
      <c r="J84" s="313"/>
      <c r="K84" s="315">
        <f>IF(J84&lt;&gt;0,D84-J84,0)</f>
        <v>0</v>
      </c>
      <c r="L84" s="329"/>
      <c r="M84" s="330">
        <f>IF(J84&lt;=L84,IF(L84&lt;&gt;0,IF(K84=0,D84-L84,K84-L84),D84),"Kontrolli kapitalikulu!")</f>
        <v>0</v>
      </c>
      <c r="S84" s="540"/>
    </row>
    <row r="85" spans="1:19" ht="12.75" customHeight="1" x14ac:dyDescent="0.25">
      <c r="A85" s="142" t="s">
        <v>157</v>
      </c>
      <c r="B85" s="114"/>
      <c r="C85" s="114"/>
      <c r="D85" s="312"/>
      <c r="E85" s="312"/>
      <c r="F85" s="445">
        <f t="shared" ref="F85:F93" si="28">D85-E85</f>
        <v>0</v>
      </c>
      <c r="G85" s="303"/>
      <c r="H85" s="743"/>
      <c r="I85" s="744"/>
      <c r="J85" s="312"/>
      <c r="K85" s="318">
        <f t="shared" ref="K85:K108" si="29">IF(J85&lt;&gt;0,D85-J85,0)</f>
        <v>0</v>
      </c>
      <c r="L85" s="331"/>
      <c r="M85" s="248">
        <f t="shared" ref="M85:M108" si="30">IF(J85&lt;=L85,IF(L85&lt;&gt;0,IF(K85=0,D85-L85,K85-L85),D85),"Kontrolli kapitalikulu!")</f>
        <v>0</v>
      </c>
    </row>
    <row r="86" spans="1:19" ht="12.75" hidden="1" customHeight="1" outlineLevel="1" x14ac:dyDescent="0.25">
      <c r="A86" s="142" t="s">
        <v>213</v>
      </c>
      <c r="B86" s="114"/>
      <c r="C86" s="114"/>
      <c r="D86" s="312"/>
      <c r="E86" s="312"/>
      <c r="F86" s="445">
        <f t="shared" si="28"/>
        <v>0</v>
      </c>
      <c r="G86" s="303"/>
      <c r="H86" s="743"/>
      <c r="I86" s="744"/>
      <c r="J86" s="312"/>
      <c r="K86" s="318">
        <f t="shared" si="29"/>
        <v>0</v>
      </c>
      <c r="L86" s="331"/>
      <c r="M86" s="248">
        <f t="shared" si="30"/>
        <v>0</v>
      </c>
    </row>
    <row r="87" spans="1:19" ht="12.75" hidden="1" customHeight="1" outlineLevel="1" x14ac:dyDescent="0.25">
      <c r="A87" s="142" t="s">
        <v>214</v>
      </c>
      <c r="B87" s="114"/>
      <c r="C87" s="114"/>
      <c r="D87" s="312"/>
      <c r="E87" s="312"/>
      <c r="F87" s="445">
        <f t="shared" si="28"/>
        <v>0</v>
      </c>
      <c r="G87" s="303"/>
      <c r="H87" s="743"/>
      <c r="I87" s="744"/>
      <c r="J87" s="312"/>
      <c r="K87" s="318">
        <f t="shared" si="29"/>
        <v>0</v>
      </c>
      <c r="L87" s="331"/>
      <c r="M87" s="248">
        <f t="shared" si="30"/>
        <v>0</v>
      </c>
    </row>
    <row r="88" spans="1:19" ht="12.75" hidden="1" customHeight="1" outlineLevel="1" x14ac:dyDescent="0.25">
      <c r="A88" s="142" t="s">
        <v>215</v>
      </c>
      <c r="B88" s="114"/>
      <c r="C88" s="114"/>
      <c r="D88" s="312"/>
      <c r="E88" s="312"/>
      <c r="F88" s="445">
        <f t="shared" si="28"/>
        <v>0</v>
      </c>
      <c r="G88" s="303"/>
      <c r="H88" s="743"/>
      <c r="I88" s="744"/>
      <c r="J88" s="312"/>
      <c r="K88" s="318">
        <f t="shared" si="29"/>
        <v>0</v>
      </c>
      <c r="L88" s="331"/>
      <c r="M88" s="248">
        <f t="shared" si="30"/>
        <v>0</v>
      </c>
    </row>
    <row r="89" spans="1:19" ht="12.75" hidden="1" customHeight="1" outlineLevel="1" x14ac:dyDescent="0.25">
      <c r="A89" s="142" t="s">
        <v>374</v>
      </c>
      <c r="B89" s="114"/>
      <c r="C89" s="171"/>
      <c r="D89" s="314"/>
      <c r="E89" s="314"/>
      <c r="F89" s="445">
        <f t="shared" si="28"/>
        <v>0</v>
      </c>
      <c r="G89" s="304"/>
      <c r="H89" s="743"/>
      <c r="I89" s="744"/>
      <c r="J89" s="314"/>
      <c r="K89" s="318">
        <f t="shared" si="29"/>
        <v>0</v>
      </c>
      <c r="L89" s="332"/>
      <c r="M89" s="248">
        <f t="shared" si="30"/>
        <v>0</v>
      </c>
    </row>
    <row r="90" spans="1:19" ht="12.75" hidden="1" customHeight="1" outlineLevel="1" x14ac:dyDescent="0.25">
      <c r="A90" s="142" t="s">
        <v>375</v>
      </c>
      <c r="B90" s="114"/>
      <c r="C90" s="171"/>
      <c r="D90" s="314"/>
      <c r="E90" s="314"/>
      <c r="F90" s="445">
        <f t="shared" si="28"/>
        <v>0</v>
      </c>
      <c r="G90" s="304"/>
      <c r="H90" s="743"/>
      <c r="I90" s="744"/>
      <c r="J90" s="314"/>
      <c r="K90" s="318">
        <f t="shared" si="29"/>
        <v>0</v>
      </c>
      <c r="L90" s="332"/>
      <c r="M90" s="248">
        <f t="shared" si="30"/>
        <v>0</v>
      </c>
    </row>
    <row r="91" spans="1:19" ht="12.75" hidden="1" customHeight="1" outlineLevel="1" x14ac:dyDescent="0.25">
      <c r="A91" s="142" t="s">
        <v>216</v>
      </c>
      <c r="B91" s="114"/>
      <c r="C91" s="171"/>
      <c r="D91" s="314"/>
      <c r="E91" s="314"/>
      <c r="F91" s="445">
        <f t="shared" si="28"/>
        <v>0</v>
      </c>
      <c r="G91" s="304"/>
      <c r="H91" s="743"/>
      <c r="I91" s="744"/>
      <c r="J91" s="314"/>
      <c r="K91" s="318">
        <f t="shared" si="29"/>
        <v>0</v>
      </c>
      <c r="L91" s="332"/>
      <c r="M91" s="248">
        <f>IF(J91&lt;=L91,IF(L91&lt;&gt;0,IF(K91=0,D91-L91,K91-L91),D91),"Kontrolli kapitalikulu!")</f>
        <v>0</v>
      </c>
    </row>
    <row r="92" spans="1:19" ht="12.75" hidden="1" customHeight="1" outlineLevel="1" x14ac:dyDescent="0.25">
      <c r="A92" s="142" t="s">
        <v>305</v>
      </c>
      <c r="B92" s="114"/>
      <c r="C92" s="171"/>
      <c r="D92" s="314"/>
      <c r="E92" s="314"/>
      <c r="F92" s="445">
        <f t="shared" si="28"/>
        <v>0</v>
      </c>
      <c r="G92" s="304"/>
      <c r="H92" s="743"/>
      <c r="I92" s="744"/>
      <c r="J92" s="314"/>
      <c r="K92" s="318">
        <f t="shared" si="29"/>
        <v>0</v>
      </c>
      <c r="L92" s="332"/>
      <c r="M92" s="248">
        <f t="shared" si="30"/>
        <v>0</v>
      </c>
    </row>
    <row r="93" spans="1:19" ht="12.75" hidden="1" customHeight="1" outlineLevel="1" x14ac:dyDescent="0.25">
      <c r="A93" s="142" t="s">
        <v>306</v>
      </c>
      <c r="B93" s="114"/>
      <c r="C93" s="171"/>
      <c r="D93" s="314"/>
      <c r="E93" s="314"/>
      <c r="F93" s="445">
        <f t="shared" si="28"/>
        <v>0</v>
      </c>
      <c r="G93" s="304"/>
      <c r="H93" s="743"/>
      <c r="I93" s="744"/>
      <c r="J93" s="314"/>
      <c r="K93" s="318">
        <f t="shared" si="29"/>
        <v>0</v>
      </c>
      <c r="L93" s="332"/>
      <c r="M93" s="248">
        <f t="shared" si="30"/>
        <v>0</v>
      </c>
    </row>
    <row r="94" spans="1:19" ht="24" customHeight="1" collapsed="1" x14ac:dyDescent="0.25">
      <c r="A94" s="117" t="s">
        <v>700</v>
      </c>
      <c r="B94" s="37" t="s">
        <v>706</v>
      </c>
      <c r="C94" s="719" t="s">
        <v>17</v>
      </c>
      <c r="D94" s="324">
        <f>SUM(D84:D93)</f>
        <v>0</v>
      </c>
      <c r="E94" s="324">
        <f>SUM(E84:E93)</f>
        <v>0</v>
      </c>
      <c r="F94" s="324">
        <f>SUM(F84:F93)</f>
        <v>0</v>
      </c>
      <c r="G94" s="239" t="s">
        <v>17</v>
      </c>
      <c r="H94" s="745"/>
      <c r="I94" s="746"/>
      <c r="J94" s="318">
        <f>SUM(J84:J93)</f>
        <v>0</v>
      </c>
      <c r="K94" s="318">
        <f>SUM(K84:K93)</f>
        <v>0</v>
      </c>
      <c r="L94" s="318">
        <f>SUM(L84:L93)</f>
        <v>0</v>
      </c>
      <c r="M94" s="318">
        <f>SUM(M84:M93)</f>
        <v>0</v>
      </c>
      <c r="P94" s="530"/>
    </row>
    <row r="95" spans="1:19" ht="25.5" x14ac:dyDescent="0.25">
      <c r="A95" s="142" t="s">
        <v>701</v>
      </c>
      <c r="B95" s="65" t="s">
        <v>392</v>
      </c>
      <c r="C95" s="720"/>
      <c r="D95" s="717" t="s">
        <v>17</v>
      </c>
      <c r="E95" s="717"/>
      <c r="F95" s="717"/>
      <c r="G95" s="717"/>
      <c r="H95" s="717"/>
      <c r="I95" s="717"/>
      <c r="J95" s="333"/>
      <c r="K95" s="334"/>
      <c r="L95" s="335"/>
      <c r="M95" s="335"/>
    </row>
    <row r="96" spans="1:19" s="111" customFormat="1" ht="25.5" x14ac:dyDescent="0.25">
      <c r="A96" s="117" t="s">
        <v>702</v>
      </c>
      <c r="B96" s="37" t="s">
        <v>707</v>
      </c>
      <c r="C96" s="721"/>
      <c r="D96" s="339">
        <f>D94-E94</f>
        <v>0</v>
      </c>
      <c r="E96" s="758" t="s">
        <v>17</v>
      </c>
      <c r="F96" s="759"/>
      <c r="G96" s="759"/>
      <c r="H96" s="759"/>
      <c r="I96" s="760"/>
      <c r="J96" s="325">
        <f>J94-J95</f>
        <v>0</v>
      </c>
      <c r="K96" s="325">
        <f>K94-K95</f>
        <v>0</v>
      </c>
      <c r="L96" s="325">
        <f>L94-L95</f>
        <v>0</v>
      </c>
      <c r="M96" s="336">
        <f>M94-M95</f>
        <v>0</v>
      </c>
    </row>
    <row r="97" spans="1:13" s="111" customFormat="1" ht="12.75" customHeight="1" x14ac:dyDescent="0.25">
      <c r="A97" s="737"/>
      <c r="B97" s="737"/>
      <c r="C97" s="737"/>
      <c r="D97" s="737"/>
      <c r="E97" s="737"/>
      <c r="F97" s="737"/>
      <c r="G97" s="737"/>
      <c r="H97" s="737"/>
      <c r="I97" s="737"/>
      <c r="J97" s="737"/>
      <c r="K97" s="737"/>
      <c r="L97" s="737"/>
      <c r="M97" s="737"/>
    </row>
    <row r="98" spans="1:13" ht="12.75" customHeight="1" x14ac:dyDescent="0.25">
      <c r="A98" s="117" t="s">
        <v>164</v>
      </c>
      <c r="B98" s="718" t="s">
        <v>422</v>
      </c>
      <c r="C98" s="718"/>
      <c r="D98" s="718"/>
      <c r="E98" s="718"/>
      <c r="F98" s="718"/>
      <c r="G98" s="718"/>
      <c r="H98" s="718"/>
      <c r="I98" s="718"/>
      <c r="J98" s="718"/>
      <c r="K98" s="718"/>
      <c r="L98" s="718"/>
      <c r="M98" s="718"/>
    </row>
    <row r="99" spans="1:13" ht="12.75" customHeight="1" x14ac:dyDescent="0.25">
      <c r="A99" s="142" t="s">
        <v>197</v>
      </c>
      <c r="B99" s="114"/>
      <c r="C99" s="311"/>
      <c r="D99" s="313"/>
      <c r="E99" s="313"/>
      <c r="F99" s="445">
        <f>D99-E99</f>
        <v>0</v>
      </c>
      <c r="G99" s="302"/>
      <c r="H99" s="741" t="s">
        <v>17</v>
      </c>
      <c r="I99" s="742"/>
      <c r="J99" s="313"/>
      <c r="K99" s="315">
        <f t="shared" si="29"/>
        <v>0</v>
      </c>
      <c r="L99" s="329"/>
      <c r="M99" s="330">
        <f t="shared" si="30"/>
        <v>0</v>
      </c>
    </row>
    <row r="100" spans="1:13" ht="12.75" customHeight="1" x14ac:dyDescent="0.25">
      <c r="A100" s="142" t="s">
        <v>198</v>
      </c>
      <c r="B100" s="114"/>
      <c r="C100" s="114"/>
      <c r="D100" s="312"/>
      <c r="E100" s="312"/>
      <c r="F100" s="445">
        <f t="shared" ref="F100:F108" si="31">D100-E100</f>
        <v>0</v>
      </c>
      <c r="G100" s="303"/>
      <c r="H100" s="743"/>
      <c r="I100" s="744"/>
      <c r="J100" s="312"/>
      <c r="K100" s="318">
        <f t="shared" si="29"/>
        <v>0</v>
      </c>
      <c r="L100" s="331"/>
      <c r="M100" s="248">
        <f t="shared" si="30"/>
        <v>0</v>
      </c>
    </row>
    <row r="101" spans="1:13" ht="12.75" hidden="1" customHeight="1" outlineLevel="1" x14ac:dyDescent="0.25">
      <c r="A101" s="142" t="s">
        <v>417</v>
      </c>
      <c r="B101" s="114"/>
      <c r="C101" s="114"/>
      <c r="D101" s="312"/>
      <c r="E101" s="312"/>
      <c r="F101" s="445">
        <f t="shared" si="31"/>
        <v>0</v>
      </c>
      <c r="G101" s="303"/>
      <c r="H101" s="743"/>
      <c r="I101" s="744"/>
      <c r="J101" s="312"/>
      <c r="K101" s="318">
        <f t="shared" si="29"/>
        <v>0</v>
      </c>
      <c r="L101" s="331"/>
      <c r="M101" s="248">
        <f t="shared" si="30"/>
        <v>0</v>
      </c>
    </row>
    <row r="102" spans="1:13" ht="12.75" hidden="1" customHeight="1" outlineLevel="1" x14ac:dyDescent="0.25">
      <c r="A102" s="142" t="s">
        <v>418</v>
      </c>
      <c r="B102" s="114"/>
      <c r="C102" s="114"/>
      <c r="D102" s="312"/>
      <c r="E102" s="312"/>
      <c r="F102" s="445">
        <f t="shared" si="31"/>
        <v>0</v>
      </c>
      <c r="G102" s="303"/>
      <c r="H102" s="743"/>
      <c r="I102" s="744"/>
      <c r="J102" s="312"/>
      <c r="K102" s="318">
        <f t="shared" si="29"/>
        <v>0</v>
      </c>
      <c r="L102" s="331"/>
      <c r="M102" s="248">
        <f t="shared" si="30"/>
        <v>0</v>
      </c>
    </row>
    <row r="103" spans="1:13" ht="12.75" hidden="1" customHeight="1" outlineLevel="1" x14ac:dyDescent="0.25">
      <c r="A103" s="142" t="s">
        <v>419</v>
      </c>
      <c r="B103" s="114"/>
      <c r="C103" s="114"/>
      <c r="D103" s="312"/>
      <c r="E103" s="312"/>
      <c r="F103" s="445">
        <f t="shared" si="31"/>
        <v>0</v>
      </c>
      <c r="G103" s="303"/>
      <c r="H103" s="743"/>
      <c r="I103" s="744"/>
      <c r="J103" s="312"/>
      <c r="K103" s="318">
        <f t="shared" si="29"/>
        <v>0</v>
      </c>
      <c r="L103" s="331"/>
      <c r="M103" s="248">
        <f t="shared" si="30"/>
        <v>0</v>
      </c>
    </row>
    <row r="104" spans="1:13" ht="12.75" hidden="1" customHeight="1" outlineLevel="1" x14ac:dyDescent="0.25">
      <c r="A104" s="142" t="s">
        <v>708</v>
      </c>
      <c r="B104" s="114"/>
      <c r="C104" s="114"/>
      <c r="D104" s="312"/>
      <c r="E104" s="312"/>
      <c r="F104" s="445">
        <f t="shared" si="31"/>
        <v>0</v>
      </c>
      <c r="G104" s="303"/>
      <c r="H104" s="743"/>
      <c r="I104" s="744"/>
      <c r="J104" s="312"/>
      <c r="K104" s="318">
        <f t="shared" si="29"/>
        <v>0</v>
      </c>
      <c r="L104" s="331"/>
      <c r="M104" s="248">
        <f t="shared" si="30"/>
        <v>0</v>
      </c>
    </row>
    <row r="105" spans="1:13" ht="12.75" hidden="1" customHeight="1" outlineLevel="1" x14ac:dyDescent="0.25">
      <c r="A105" s="142" t="s">
        <v>709</v>
      </c>
      <c r="B105" s="114"/>
      <c r="C105" s="114"/>
      <c r="D105" s="312"/>
      <c r="E105" s="312"/>
      <c r="F105" s="445">
        <f t="shared" si="31"/>
        <v>0</v>
      </c>
      <c r="G105" s="303"/>
      <c r="H105" s="743"/>
      <c r="I105" s="744"/>
      <c r="J105" s="312"/>
      <c r="K105" s="318">
        <f t="shared" si="29"/>
        <v>0</v>
      </c>
      <c r="L105" s="331"/>
      <c r="M105" s="248">
        <f t="shared" si="30"/>
        <v>0</v>
      </c>
    </row>
    <row r="106" spans="1:13" ht="12.75" hidden="1" customHeight="1" outlineLevel="1" x14ac:dyDescent="0.25">
      <c r="A106" s="142" t="s">
        <v>710</v>
      </c>
      <c r="B106" s="114"/>
      <c r="C106" s="114"/>
      <c r="D106" s="312"/>
      <c r="E106" s="312"/>
      <c r="F106" s="445">
        <f t="shared" si="31"/>
        <v>0</v>
      </c>
      <c r="G106" s="303"/>
      <c r="H106" s="743"/>
      <c r="I106" s="744"/>
      <c r="J106" s="312"/>
      <c r="K106" s="318">
        <f t="shared" si="29"/>
        <v>0</v>
      </c>
      <c r="L106" s="331"/>
      <c r="M106" s="248">
        <f t="shared" si="30"/>
        <v>0</v>
      </c>
    </row>
    <row r="107" spans="1:13" ht="12.75" hidden="1" customHeight="1" outlineLevel="1" x14ac:dyDescent="0.25">
      <c r="A107" s="142" t="s">
        <v>711</v>
      </c>
      <c r="B107" s="114"/>
      <c r="C107" s="114"/>
      <c r="D107" s="312"/>
      <c r="E107" s="312"/>
      <c r="F107" s="445">
        <f t="shared" si="31"/>
        <v>0</v>
      </c>
      <c r="G107" s="303"/>
      <c r="H107" s="743"/>
      <c r="I107" s="744"/>
      <c r="J107" s="312"/>
      <c r="K107" s="318">
        <f t="shared" si="29"/>
        <v>0</v>
      </c>
      <c r="L107" s="331"/>
      <c r="M107" s="248">
        <f t="shared" si="30"/>
        <v>0</v>
      </c>
    </row>
    <row r="108" spans="1:13" ht="12.75" hidden="1" customHeight="1" outlineLevel="1" x14ac:dyDescent="0.25">
      <c r="A108" s="142" t="s">
        <v>712</v>
      </c>
      <c r="B108" s="114"/>
      <c r="C108" s="114"/>
      <c r="D108" s="312"/>
      <c r="E108" s="312"/>
      <c r="F108" s="445">
        <f t="shared" si="31"/>
        <v>0</v>
      </c>
      <c r="G108" s="303"/>
      <c r="H108" s="743"/>
      <c r="I108" s="744"/>
      <c r="J108" s="312"/>
      <c r="K108" s="318">
        <f t="shared" si="29"/>
        <v>0</v>
      </c>
      <c r="L108" s="331"/>
      <c r="M108" s="248">
        <f t="shared" si="30"/>
        <v>0</v>
      </c>
    </row>
    <row r="109" spans="1:13" ht="24" customHeight="1" collapsed="1" x14ac:dyDescent="0.25">
      <c r="A109" s="117" t="s">
        <v>703</v>
      </c>
      <c r="B109" s="37" t="s">
        <v>716</v>
      </c>
      <c r="C109" s="756" t="s">
        <v>17</v>
      </c>
      <c r="D109" s="324">
        <f>SUM(D99:D108)</f>
        <v>0</v>
      </c>
      <c r="E109" s="324">
        <f>SUM(E99:E108)</f>
        <v>0</v>
      </c>
      <c r="F109" s="324">
        <f>SUM(F99:F108)</f>
        <v>0</v>
      </c>
      <c r="G109" s="239" t="s">
        <v>17</v>
      </c>
      <c r="H109" s="745"/>
      <c r="I109" s="746"/>
      <c r="J109" s="318">
        <f>SUM(J99:J108)</f>
        <v>0</v>
      </c>
      <c r="K109" s="318">
        <f>SUM(K99:K108)</f>
        <v>0</v>
      </c>
      <c r="L109" s="318">
        <f>SUM(L99:L108)</f>
        <v>0</v>
      </c>
      <c r="M109" s="318">
        <f>SUM(M99:M108)</f>
        <v>0</v>
      </c>
    </row>
    <row r="110" spans="1:13" ht="25.5" x14ac:dyDescent="0.25">
      <c r="A110" s="142" t="s">
        <v>704</v>
      </c>
      <c r="B110" s="65" t="s">
        <v>392</v>
      </c>
      <c r="C110" s="716"/>
      <c r="D110" s="717" t="s">
        <v>17</v>
      </c>
      <c r="E110" s="717"/>
      <c r="F110" s="717"/>
      <c r="G110" s="717"/>
      <c r="H110" s="717"/>
      <c r="I110" s="717"/>
      <c r="J110" s="333"/>
      <c r="K110" s="334"/>
      <c r="L110" s="335"/>
      <c r="M110" s="335"/>
    </row>
    <row r="111" spans="1:13" s="111" customFormat="1" ht="25.5" x14ac:dyDescent="0.25">
      <c r="A111" s="117" t="s">
        <v>705</v>
      </c>
      <c r="B111" s="37" t="s">
        <v>717</v>
      </c>
      <c r="C111" s="716"/>
      <c r="D111" s="339">
        <f>D109-E109</f>
        <v>0</v>
      </c>
      <c r="E111" s="738" t="s">
        <v>17</v>
      </c>
      <c r="F111" s="739"/>
      <c r="G111" s="739"/>
      <c r="H111" s="739"/>
      <c r="I111" s="740"/>
      <c r="J111" s="325">
        <f>J109-J110</f>
        <v>0</v>
      </c>
      <c r="K111" s="325">
        <f>K109-K110</f>
        <v>0</v>
      </c>
      <c r="L111" s="325">
        <f>L109-L110</f>
        <v>0</v>
      </c>
      <c r="M111" s="336">
        <f>M109-M110</f>
        <v>0</v>
      </c>
    </row>
    <row r="112" spans="1:13" s="131" customFormat="1" ht="25.5" x14ac:dyDescent="0.2">
      <c r="A112" s="463" t="s">
        <v>721</v>
      </c>
      <c r="B112" s="464" t="s">
        <v>722</v>
      </c>
      <c r="C112" s="757" t="s">
        <v>17</v>
      </c>
      <c r="D112" s="459">
        <f>D96+D111</f>
        <v>0</v>
      </c>
      <c r="E112" s="724" t="s">
        <v>17</v>
      </c>
      <c r="F112" s="724"/>
      <c r="G112" s="724"/>
      <c r="H112" s="724"/>
      <c r="I112" s="724"/>
      <c r="J112" s="465">
        <f>J96+J111</f>
        <v>0</v>
      </c>
      <c r="K112" s="465">
        <f>K96+K111</f>
        <v>0</v>
      </c>
      <c r="L112" s="465">
        <f>L96+L111</f>
        <v>0</v>
      </c>
      <c r="M112" s="465">
        <f>M96+M111</f>
        <v>0</v>
      </c>
    </row>
    <row r="113" spans="1:13" s="131" customFormat="1" ht="26.25" customHeight="1" x14ac:dyDescent="0.2">
      <c r="A113" s="17" t="s">
        <v>171</v>
      </c>
      <c r="B113" s="464" t="s">
        <v>723</v>
      </c>
      <c r="C113" s="757"/>
      <c r="D113" s="459">
        <f>D81+D112</f>
        <v>1790074.2208748802</v>
      </c>
      <c r="E113" s="724"/>
      <c r="F113" s="724"/>
      <c r="G113" s="724"/>
      <c r="H113" s="724"/>
      <c r="I113" s="724"/>
      <c r="J113" s="465">
        <f>J81+J112</f>
        <v>69488.541341607357</v>
      </c>
      <c r="K113" s="465">
        <f>K81+K112</f>
        <v>1609446.6508764958</v>
      </c>
      <c r="L113" s="465">
        <f>L81+L112</f>
        <v>69488.541341607357</v>
      </c>
      <c r="M113" s="465">
        <f>M81+M112</f>
        <v>1539958.1095348885</v>
      </c>
    </row>
    <row r="114" spans="1:13" ht="24" customHeight="1" x14ac:dyDescent="0.25"/>
    <row r="115" spans="1:13" ht="12.75" customHeight="1" x14ac:dyDescent="0.25">
      <c r="A115" s="434" t="s">
        <v>633</v>
      </c>
      <c r="B115" s="434"/>
      <c r="C115" s="434"/>
      <c r="D115" s="434"/>
      <c r="E115" s="434"/>
      <c r="F115" s="434"/>
      <c r="G115" s="434"/>
    </row>
    <row r="116" spans="1:13" ht="24" customHeight="1" x14ac:dyDescent="0.25">
      <c r="A116" s="782" t="s">
        <v>40</v>
      </c>
      <c r="B116" s="773" t="s">
        <v>22</v>
      </c>
      <c r="C116" s="774"/>
      <c r="D116" s="775"/>
      <c r="E116" s="783" t="s">
        <v>0</v>
      </c>
      <c r="F116" s="761" t="str">
        <f>J4&amp;" ("&amp;J5&amp;")"</f>
        <v>majandusaasta (2026)</v>
      </c>
      <c r="G116" s="762"/>
      <c r="H116" s="763"/>
      <c r="I116" s="761" t="str">
        <f>L4&amp;" ("&amp;L5&amp;")"</f>
        <v>majandusaasta pluss 1 aasta (2027)</v>
      </c>
      <c r="J116" s="762"/>
      <c r="K116" s="763"/>
    </row>
    <row r="117" spans="1:13" ht="36" customHeight="1" x14ac:dyDescent="0.25">
      <c r="A117" s="782"/>
      <c r="B117" s="776"/>
      <c r="C117" s="777"/>
      <c r="D117" s="778"/>
      <c r="E117" s="783"/>
      <c r="F117" s="448" t="s">
        <v>718</v>
      </c>
      <c r="G117" s="447" t="s">
        <v>719</v>
      </c>
      <c r="H117" s="447" t="s">
        <v>720</v>
      </c>
      <c r="I117" s="448" t="s">
        <v>718</v>
      </c>
      <c r="J117" s="447" t="s">
        <v>719</v>
      </c>
      <c r="K117" s="447" t="s">
        <v>720</v>
      </c>
    </row>
    <row r="118" spans="1:13" ht="14.1" customHeight="1" x14ac:dyDescent="0.25">
      <c r="A118" s="542" t="s">
        <v>222</v>
      </c>
      <c r="B118" s="751" t="s">
        <v>323</v>
      </c>
      <c r="C118" s="752"/>
      <c r="D118" s="753"/>
      <c r="E118" s="372" t="s">
        <v>6</v>
      </c>
      <c r="F118" s="450">
        <f>G118+H118</f>
        <v>1678.9351922181029</v>
      </c>
      <c r="G118" s="543">
        <f>I34/1000</f>
        <v>1468.8931474383096</v>
      </c>
      <c r="H118" s="543">
        <f>I80/1000</f>
        <v>210.04204477979337</v>
      </c>
      <c r="I118" s="451">
        <f>J118+K118</f>
        <v>1609.4466508764958</v>
      </c>
      <c r="J118" s="544">
        <f>(K34+K96)/1000</f>
        <v>1410.0293961994657</v>
      </c>
      <c r="K118" s="544">
        <f>(K80+K111)/1000</f>
        <v>199.41725467703003</v>
      </c>
    </row>
    <row r="119" spans="1:13" ht="14.1" customHeight="1" x14ac:dyDescent="0.25">
      <c r="A119" s="542" t="s">
        <v>91</v>
      </c>
      <c r="B119" s="751" t="s">
        <v>337</v>
      </c>
      <c r="C119" s="752"/>
      <c r="D119" s="753"/>
      <c r="E119" s="372" t="s">
        <v>6</v>
      </c>
      <c r="F119" s="450">
        <f>G119+H119</f>
        <v>0</v>
      </c>
      <c r="G119" s="543">
        <f>(J96+K96)/1000</f>
        <v>0</v>
      </c>
      <c r="H119" s="543">
        <f>(J111+K111)/1000</f>
        <v>0</v>
      </c>
      <c r="I119" s="451">
        <f>J119+K119</f>
        <v>0</v>
      </c>
      <c r="J119" s="544">
        <f>(M96+L96-K96)/1000</f>
        <v>0</v>
      </c>
      <c r="K119" s="544">
        <f>(M111+L111-K111)/1000</f>
        <v>0</v>
      </c>
    </row>
    <row r="120" spans="1:13" ht="14.1" customHeight="1" x14ac:dyDescent="0.25">
      <c r="A120" s="440" t="s">
        <v>97</v>
      </c>
      <c r="B120" s="751" t="s">
        <v>321</v>
      </c>
      <c r="C120" s="752"/>
      <c r="D120" s="753"/>
      <c r="E120" s="372" t="s">
        <v>6</v>
      </c>
      <c r="F120" s="452">
        <f>G120+H120</f>
        <v>0</v>
      </c>
      <c r="G120" s="545"/>
      <c r="H120" s="545"/>
      <c r="I120" s="452">
        <f>J120+K120</f>
        <v>0</v>
      </c>
      <c r="J120" s="545"/>
      <c r="K120" s="545"/>
      <c r="L120" s="416"/>
    </row>
    <row r="121" spans="1:13" s="111" customFormat="1" ht="14.1" customHeight="1" x14ac:dyDescent="0.25">
      <c r="A121" s="454" t="s">
        <v>115</v>
      </c>
      <c r="B121" s="748" t="s">
        <v>426</v>
      </c>
      <c r="C121" s="749"/>
      <c r="D121" s="750"/>
      <c r="E121" s="455" t="s">
        <v>6</v>
      </c>
      <c r="F121" s="450">
        <f>G121+H121</f>
        <v>69.488541341607359</v>
      </c>
      <c r="G121" s="450">
        <f>(J34+J96)/1000</f>
        <v>58.86375123884401</v>
      </c>
      <c r="H121" s="450">
        <f>(J80+J111)/1000</f>
        <v>10.624790102763349</v>
      </c>
      <c r="I121" s="453">
        <f>J121+K121</f>
        <v>69.488541341607359</v>
      </c>
      <c r="J121" s="451">
        <f>(L34+L96)/1000</f>
        <v>58.86375123884401</v>
      </c>
      <c r="K121" s="451">
        <f>(L80+L111)/1000</f>
        <v>10.624790102763349</v>
      </c>
    </row>
    <row r="122" spans="1:13" ht="14.1" customHeight="1" x14ac:dyDescent="0.25">
      <c r="A122" s="440" t="s">
        <v>125</v>
      </c>
      <c r="B122" s="751" t="s">
        <v>632</v>
      </c>
      <c r="C122" s="752"/>
      <c r="D122" s="753"/>
      <c r="E122" s="372" t="s">
        <v>2</v>
      </c>
      <c r="F122" s="441">
        <v>0.05</v>
      </c>
      <c r="G122" s="441">
        <v>2.5000000000000001E-2</v>
      </c>
      <c r="H122" s="441">
        <v>0.04</v>
      </c>
      <c r="I122" s="444">
        <v>0.05</v>
      </c>
      <c r="J122" s="444">
        <v>2.5000000000000001E-2</v>
      </c>
      <c r="K122" s="444">
        <v>0.04</v>
      </c>
    </row>
    <row r="123" spans="1:13" ht="14.1" customHeight="1" x14ac:dyDescent="0.25">
      <c r="A123" s="454" t="s">
        <v>164</v>
      </c>
      <c r="B123" s="748" t="s">
        <v>324</v>
      </c>
      <c r="C123" s="749"/>
      <c r="D123" s="750"/>
      <c r="E123" s="455" t="s">
        <v>6</v>
      </c>
      <c r="F123" s="450">
        <f>G123+H123</f>
        <v>1609.4466508764956</v>
      </c>
      <c r="G123" s="450">
        <f>G118+G119-G120-G121</f>
        <v>1410.0293961994655</v>
      </c>
      <c r="H123" s="450">
        <f>H118+H119-H120-H121</f>
        <v>199.41725467703003</v>
      </c>
      <c r="I123" s="451">
        <f>J123+K123</f>
        <v>1539.9581095348883</v>
      </c>
      <c r="J123" s="451">
        <f>J118+J119-J120-J121</f>
        <v>1351.1656449606216</v>
      </c>
      <c r="K123" s="451">
        <f>K118+K119-K120-K121</f>
        <v>188.79246457426669</v>
      </c>
    </row>
    <row r="124" spans="1:13" ht="12.75" customHeight="1" x14ac:dyDescent="0.25"/>
    <row r="125" spans="1:13" ht="12.75" customHeight="1" x14ac:dyDescent="0.25"/>
    <row r="126" spans="1:13" ht="12.75" customHeight="1" x14ac:dyDescent="0.25"/>
    <row r="127" spans="1:13" s="111" customFormat="1" ht="12.75" customHeight="1" x14ac:dyDescent="0.25">
      <c r="A127" s="541"/>
      <c r="B127" s="296"/>
      <c r="C127" s="296"/>
      <c r="D127" s="296"/>
      <c r="E127" s="296"/>
      <c r="F127" s="296"/>
      <c r="G127" s="296"/>
      <c r="H127" s="296"/>
    </row>
    <row r="128" spans="1:13" s="111" customFormat="1" ht="12.75" customHeight="1" x14ac:dyDescent="0.25">
      <c r="A128" s="541"/>
      <c r="B128" s="296"/>
      <c r="C128" s="296"/>
      <c r="D128" s="296"/>
      <c r="E128" s="296"/>
      <c r="F128" s="296"/>
      <c r="G128" s="296"/>
      <c r="H128" s="296"/>
    </row>
  </sheetData>
  <dataConsolidate/>
  <mergeCells count="57">
    <mergeCell ref="B122:D122"/>
    <mergeCell ref="D79:G79"/>
    <mergeCell ref="E34:G34"/>
    <mergeCell ref="C32:C34"/>
    <mergeCell ref="C78:C80"/>
    <mergeCell ref="E80:G80"/>
    <mergeCell ref="E81:G81"/>
    <mergeCell ref="B118:D118"/>
    <mergeCell ref="B119:D119"/>
    <mergeCell ref="B116:D117"/>
    <mergeCell ref="B57:M57"/>
    <mergeCell ref="A82:M82"/>
    <mergeCell ref="B83:M83"/>
    <mergeCell ref="A116:A117"/>
    <mergeCell ref="E116:E117"/>
    <mergeCell ref="A97:M97"/>
    <mergeCell ref="A1:M1"/>
    <mergeCell ref="B121:D121"/>
    <mergeCell ref="B120:D120"/>
    <mergeCell ref="B123:D123"/>
    <mergeCell ref="H5:I5"/>
    <mergeCell ref="G3:G5"/>
    <mergeCell ref="C109:C111"/>
    <mergeCell ref="C112:C113"/>
    <mergeCell ref="H84:I94"/>
    <mergeCell ref="B7:M7"/>
    <mergeCell ref="A13:M13"/>
    <mergeCell ref="E96:I96"/>
    <mergeCell ref="F116:H116"/>
    <mergeCell ref="I116:K116"/>
    <mergeCell ref="B36:M36"/>
    <mergeCell ref="G8:H12"/>
    <mergeCell ref="E112:I113"/>
    <mergeCell ref="J5:K5"/>
    <mergeCell ref="A2:B2"/>
    <mergeCell ref="A3:A6"/>
    <mergeCell ref="D3:D5"/>
    <mergeCell ref="E3:E5"/>
    <mergeCell ref="F3:F5"/>
    <mergeCell ref="B3:B6"/>
    <mergeCell ref="C3:C5"/>
    <mergeCell ref="B14:M14"/>
    <mergeCell ref="A35:M35"/>
    <mergeCell ref="E111:I111"/>
    <mergeCell ref="L8:L12"/>
    <mergeCell ref="D33:G33"/>
    <mergeCell ref="H99:I109"/>
    <mergeCell ref="I3:I4"/>
    <mergeCell ref="J4:K4"/>
    <mergeCell ref="L4:M4"/>
    <mergeCell ref="H3:H4"/>
    <mergeCell ref="J8:J12"/>
    <mergeCell ref="D110:I110"/>
    <mergeCell ref="B98:M98"/>
    <mergeCell ref="D95:I95"/>
    <mergeCell ref="C94:C96"/>
    <mergeCell ref="L5:M5"/>
  </mergeCells>
  <pageMargins left="0" right="0" top="0" bottom="0" header="0.31496062992125984" footer="0.31496062992125984"/>
  <pageSetup paperSize="9" scale="5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7"/>
  <sheetViews>
    <sheetView zoomScale="91" zoomScaleNormal="91" workbookViewId="0">
      <selection activeCell="L30" sqref="L30"/>
    </sheetView>
  </sheetViews>
  <sheetFormatPr defaultRowHeight="15.75" x14ac:dyDescent="0.25"/>
  <cols>
    <col min="1" max="1" width="4.75" customWidth="1"/>
    <col min="2" max="2" width="36.5" customWidth="1"/>
    <col min="3" max="3" width="12.875" customWidth="1"/>
    <col min="4" max="4" width="12" customWidth="1"/>
    <col min="5" max="5" width="12.625" customWidth="1"/>
    <col min="7" max="7" width="11.75" customWidth="1"/>
    <col min="8" max="8" width="12.625" customWidth="1"/>
    <col min="10" max="10" width="10.875" customWidth="1"/>
    <col min="11" max="11" width="12.625" customWidth="1"/>
    <col min="13" max="13" width="10.75" customWidth="1"/>
    <col min="14" max="14" width="12.625" customWidth="1"/>
    <col min="16" max="16" width="10.375" customWidth="1"/>
    <col min="17" max="17" width="12.625" customWidth="1"/>
  </cols>
  <sheetData>
    <row r="1" spans="1:18" x14ac:dyDescent="0.25">
      <c r="A1" s="6"/>
      <c r="B1" s="215"/>
      <c r="C1" s="787"/>
      <c r="D1" s="788"/>
      <c r="E1" s="215"/>
      <c r="F1" s="21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5" customHeight="1" x14ac:dyDescent="0.25">
      <c r="A2" s="258"/>
      <c r="B2" s="259" t="s">
        <v>548</v>
      </c>
      <c r="C2" s="259" t="s">
        <v>0</v>
      </c>
      <c r="D2" s="790" t="str">
        <f>'B. Algandmed'!D6</f>
        <v>2023</v>
      </c>
      <c r="E2" s="791"/>
      <c r="F2" s="792"/>
      <c r="G2" s="790" t="str">
        <f>'B. Algandmed'!E6</f>
        <v>2024</v>
      </c>
      <c r="H2" s="791"/>
      <c r="I2" s="792"/>
      <c r="J2" s="790" t="str">
        <f>'B. Algandmed'!F6</f>
        <v>2025</v>
      </c>
      <c r="K2" s="791"/>
      <c r="L2" s="792"/>
      <c r="M2" s="793" t="str">
        <f>'B. Algandmed'!G6</f>
        <v>2026</v>
      </c>
      <c r="N2" s="785"/>
      <c r="O2" s="786"/>
      <c r="P2" s="785" t="str">
        <f>'B. Algandmed'!H6</f>
        <v>2027</v>
      </c>
      <c r="Q2" s="785"/>
      <c r="R2" s="786"/>
    </row>
    <row r="3" spans="1:18" s="235" customFormat="1" ht="91.5" customHeight="1" x14ac:dyDescent="0.2">
      <c r="A3" s="260" t="s">
        <v>530</v>
      </c>
      <c r="B3" s="789" t="s">
        <v>22</v>
      </c>
      <c r="C3" s="789"/>
      <c r="D3" s="234" t="s">
        <v>596</v>
      </c>
      <c r="E3" s="234" t="s">
        <v>686</v>
      </c>
      <c r="F3" s="234" t="s">
        <v>550</v>
      </c>
      <c r="G3" s="234" t="s">
        <v>596</v>
      </c>
      <c r="H3" s="234" t="s">
        <v>686</v>
      </c>
      <c r="I3" s="234" t="s">
        <v>550</v>
      </c>
      <c r="J3" s="234" t="s">
        <v>596</v>
      </c>
      <c r="K3" s="234" t="s">
        <v>686</v>
      </c>
      <c r="L3" s="234" t="s">
        <v>550</v>
      </c>
      <c r="M3" s="234" t="s">
        <v>596</v>
      </c>
      <c r="N3" s="234" t="s">
        <v>686</v>
      </c>
      <c r="O3" s="234" t="s">
        <v>550</v>
      </c>
      <c r="P3" s="234" t="s">
        <v>596</v>
      </c>
      <c r="Q3" s="234" t="s">
        <v>686</v>
      </c>
      <c r="R3" s="234" t="s">
        <v>550</v>
      </c>
    </row>
    <row r="4" spans="1:18" ht="12.75" customHeight="1" x14ac:dyDescent="0.25">
      <c r="A4" s="261"/>
      <c r="B4" s="261"/>
      <c r="C4" s="261"/>
      <c r="D4" s="218"/>
      <c r="E4" s="218"/>
      <c r="F4" s="262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13"/>
      <c r="R4" s="13"/>
    </row>
    <row r="5" spans="1:18" ht="12.75" customHeight="1" x14ac:dyDescent="0.25">
      <c r="A5" s="263">
        <v>1</v>
      </c>
      <c r="B5" s="264" t="s">
        <v>730</v>
      </c>
      <c r="C5" s="263" t="s">
        <v>6</v>
      </c>
      <c r="D5" s="277">
        <v>337.98</v>
      </c>
      <c r="E5" s="277">
        <v>163.72999999999999</v>
      </c>
      <c r="F5" s="278">
        <f>D5+E5</f>
        <v>501.71000000000004</v>
      </c>
      <c r="G5" s="278">
        <f>D21</f>
        <v>337.98</v>
      </c>
      <c r="H5" s="278">
        <f>E21</f>
        <v>163.72999999999999</v>
      </c>
      <c r="I5" s="279">
        <f>G5+H5</f>
        <v>501.71000000000004</v>
      </c>
      <c r="J5" s="278">
        <f>G21</f>
        <v>415.65600000000001</v>
      </c>
      <c r="K5" s="278">
        <f>H21</f>
        <v>163.72999999999999</v>
      </c>
      <c r="L5" s="279">
        <f>J5+K5</f>
        <v>579.38599999999997</v>
      </c>
      <c r="M5" s="278">
        <f>J21</f>
        <v>1907.9690000000001</v>
      </c>
      <c r="N5" s="278">
        <f>K21</f>
        <v>163.72999999999999</v>
      </c>
      <c r="O5" s="279">
        <f>M5+N5</f>
        <v>2071.6990000000001</v>
      </c>
      <c r="P5" s="278">
        <f>M21</f>
        <v>1907.9690000000001</v>
      </c>
      <c r="Q5" s="278">
        <f>N21</f>
        <v>163.72999999999999</v>
      </c>
      <c r="R5" s="279">
        <f>P5+Q5</f>
        <v>2071.6990000000001</v>
      </c>
    </row>
    <row r="6" spans="1:18" ht="12.75" customHeight="1" x14ac:dyDescent="0.25">
      <c r="A6" s="263">
        <f>A5+1</f>
        <v>2</v>
      </c>
      <c r="B6" s="264" t="s">
        <v>731</v>
      </c>
      <c r="C6" s="263" t="s">
        <v>6</v>
      </c>
      <c r="D6" s="277">
        <v>180.4</v>
      </c>
      <c r="E6" s="277">
        <v>115.03</v>
      </c>
      <c r="F6" s="278">
        <f t="shared" ref="F6:F22" si="0">D6+E6</f>
        <v>295.43</v>
      </c>
      <c r="G6" s="279">
        <f>D22</f>
        <v>168.57</v>
      </c>
      <c r="H6" s="279">
        <f>E22</f>
        <v>110.94</v>
      </c>
      <c r="I6" s="279">
        <f t="shared" ref="I6:I22" si="1">G6+H6</f>
        <v>279.51</v>
      </c>
      <c r="J6" s="279">
        <f>G22</f>
        <v>234.41599999999997</v>
      </c>
      <c r="K6" s="279">
        <f>H22</f>
        <v>106.85</v>
      </c>
      <c r="L6" s="279">
        <f t="shared" ref="L6:L22" si="2">J6+K6</f>
        <v>341.26599999999996</v>
      </c>
      <c r="M6" s="279">
        <f>J22</f>
        <v>1765.8689999999999</v>
      </c>
      <c r="N6" s="279">
        <f>K22</f>
        <v>102.75999999999999</v>
      </c>
      <c r="O6" s="279">
        <f t="shared" ref="O6:O22" si="3">M6+N6</f>
        <v>1868.6289999999999</v>
      </c>
      <c r="P6" s="279">
        <f>M22</f>
        <v>1696.3804586583926</v>
      </c>
      <c r="Q6" s="279">
        <f>N22</f>
        <v>98.669999999999987</v>
      </c>
      <c r="R6" s="279">
        <f t="shared" ref="R6:R22" si="4">P6+Q6</f>
        <v>1795.0504586583927</v>
      </c>
    </row>
    <row r="7" spans="1:18" ht="12.75" customHeight="1" x14ac:dyDescent="0.25">
      <c r="A7" s="265">
        <f t="shared" ref="A7:A28" si="5">A6+1</f>
        <v>3</v>
      </c>
      <c r="B7" s="266" t="s">
        <v>531</v>
      </c>
      <c r="C7" s="267" t="s">
        <v>6</v>
      </c>
      <c r="D7" s="280"/>
      <c r="E7" s="280"/>
      <c r="F7" s="278">
        <f t="shared" si="0"/>
        <v>0</v>
      </c>
      <c r="G7" s="280">
        <v>77.676000000000002</v>
      </c>
      <c r="H7" s="280"/>
      <c r="I7" s="279">
        <f t="shared" si="1"/>
        <v>77.676000000000002</v>
      </c>
      <c r="J7" s="280">
        <v>1586.393</v>
      </c>
      <c r="K7" s="280"/>
      <c r="L7" s="279">
        <f t="shared" si="2"/>
        <v>1586.393</v>
      </c>
      <c r="M7" s="280"/>
      <c r="N7" s="280"/>
      <c r="O7" s="279">
        <f t="shared" si="3"/>
        <v>0</v>
      </c>
      <c r="P7" s="280"/>
      <c r="Q7" s="280"/>
      <c r="R7" s="279">
        <f t="shared" si="4"/>
        <v>0</v>
      </c>
    </row>
    <row r="8" spans="1:18" ht="12.75" customHeight="1" x14ac:dyDescent="0.25">
      <c r="A8" s="267">
        <f t="shared" si="5"/>
        <v>4</v>
      </c>
      <c r="B8" s="268" t="s">
        <v>532</v>
      </c>
      <c r="C8" s="267" t="s">
        <v>6</v>
      </c>
      <c r="D8" s="281">
        <v>11.83</v>
      </c>
      <c r="E8" s="281">
        <v>4.09</v>
      </c>
      <c r="F8" s="278">
        <f t="shared" si="0"/>
        <v>15.92</v>
      </c>
      <c r="G8" s="281">
        <v>11.83</v>
      </c>
      <c r="H8" s="281">
        <v>4.09</v>
      </c>
      <c r="I8" s="279">
        <f t="shared" si="1"/>
        <v>15.92</v>
      </c>
      <c r="J8" s="281">
        <v>48.64</v>
      </c>
      <c r="K8" s="281">
        <v>4.09</v>
      </c>
      <c r="L8" s="279">
        <f t="shared" si="2"/>
        <v>52.730000000000004</v>
      </c>
      <c r="M8" s="282">
        <f>'G. Põhivarad ja kapitalikulu'!F121</f>
        <v>69.488541341607359</v>
      </c>
      <c r="N8" s="281">
        <v>4.09</v>
      </c>
      <c r="O8" s="279">
        <f t="shared" si="3"/>
        <v>73.578541341607362</v>
      </c>
      <c r="P8" s="282">
        <f>'G. Põhivarad ja kapitalikulu'!I121</f>
        <v>69.488541341607359</v>
      </c>
      <c r="Q8" s="281">
        <v>4.09</v>
      </c>
      <c r="R8" s="279">
        <f t="shared" si="4"/>
        <v>73.578541341607362</v>
      </c>
    </row>
    <row r="9" spans="1:18" s="1" customFormat="1" ht="24" x14ac:dyDescent="0.25">
      <c r="A9" s="271">
        <f t="shared" si="5"/>
        <v>5</v>
      </c>
      <c r="B9" s="297" t="s">
        <v>533</v>
      </c>
      <c r="C9" s="273" t="s">
        <v>6</v>
      </c>
      <c r="D9" s="283"/>
      <c r="E9" s="283"/>
      <c r="F9" s="284">
        <f t="shared" si="0"/>
        <v>0</v>
      </c>
      <c r="G9" s="283"/>
      <c r="H9" s="283"/>
      <c r="I9" s="285">
        <f t="shared" si="1"/>
        <v>0</v>
      </c>
      <c r="J9" s="283"/>
      <c r="K9" s="283"/>
      <c r="L9" s="285">
        <f t="shared" si="2"/>
        <v>0</v>
      </c>
      <c r="M9" s="283"/>
      <c r="N9" s="283"/>
      <c r="O9" s="285">
        <f t="shared" si="3"/>
        <v>0</v>
      </c>
      <c r="P9" s="283"/>
      <c r="Q9" s="283"/>
      <c r="R9" s="285">
        <f t="shared" si="4"/>
        <v>0</v>
      </c>
    </row>
    <row r="10" spans="1:18" ht="12.75" customHeight="1" x14ac:dyDescent="0.25">
      <c r="A10" s="265">
        <f t="shared" si="5"/>
        <v>6</v>
      </c>
      <c r="B10" s="270" t="s">
        <v>534</v>
      </c>
      <c r="C10" s="267" t="s">
        <v>6</v>
      </c>
      <c r="D10" s="280"/>
      <c r="E10" s="280"/>
      <c r="F10" s="278">
        <f t="shared" si="0"/>
        <v>0</v>
      </c>
      <c r="G10" s="280"/>
      <c r="H10" s="280"/>
      <c r="I10" s="279">
        <f t="shared" si="1"/>
        <v>0</v>
      </c>
      <c r="J10" s="280"/>
      <c r="K10" s="280"/>
      <c r="L10" s="279">
        <f t="shared" si="2"/>
        <v>0</v>
      </c>
      <c r="M10" s="280"/>
      <c r="N10" s="280"/>
      <c r="O10" s="279">
        <f t="shared" si="3"/>
        <v>0</v>
      </c>
      <c r="P10" s="280"/>
      <c r="Q10" s="280"/>
      <c r="R10" s="279">
        <f t="shared" si="4"/>
        <v>0</v>
      </c>
    </row>
    <row r="11" spans="1:18" ht="12.75" customHeight="1" x14ac:dyDescent="0.25">
      <c r="A11" s="265">
        <f t="shared" si="5"/>
        <v>7</v>
      </c>
      <c r="B11" s="270" t="s">
        <v>535</v>
      </c>
      <c r="C11" s="267" t="s">
        <v>6</v>
      </c>
      <c r="D11" s="280"/>
      <c r="E11" s="280"/>
      <c r="F11" s="278">
        <f t="shared" si="0"/>
        <v>0</v>
      </c>
      <c r="G11" s="280"/>
      <c r="H11" s="280"/>
      <c r="I11" s="279">
        <f t="shared" si="1"/>
        <v>0</v>
      </c>
      <c r="J11" s="280"/>
      <c r="K11" s="280"/>
      <c r="L11" s="279">
        <f t="shared" si="2"/>
        <v>0</v>
      </c>
      <c r="M11" s="280"/>
      <c r="N11" s="280"/>
      <c r="O11" s="279">
        <f t="shared" si="3"/>
        <v>0</v>
      </c>
      <c r="P11" s="280"/>
      <c r="Q11" s="280"/>
      <c r="R11" s="279">
        <f t="shared" si="4"/>
        <v>0</v>
      </c>
    </row>
    <row r="12" spans="1:18" ht="12.75" customHeight="1" x14ac:dyDescent="0.25">
      <c r="A12" s="265">
        <f t="shared" si="5"/>
        <v>8</v>
      </c>
      <c r="B12" s="269" t="s">
        <v>536</v>
      </c>
      <c r="C12" s="267" t="s">
        <v>6</v>
      </c>
      <c r="D12" s="280"/>
      <c r="E12" s="280"/>
      <c r="F12" s="278">
        <f t="shared" si="0"/>
        <v>0</v>
      </c>
      <c r="G12" s="280"/>
      <c r="H12" s="280"/>
      <c r="I12" s="279">
        <f t="shared" si="1"/>
        <v>0</v>
      </c>
      <c r="J12" s="280">
        <v>94.08</v>
      </c>
      <c r="K12" s="280"/>
      <c r="L12" s="279">
        <f t="shared" si="2"/>
        <v>94.08</v>
      </c>
      <c r="M12" s="280"/>
      <c r="N12" s="280"/>
      <c r="O12" s="279">
        <f t="shared" si="3"/>
        <v>0</v>
      </c>
      <c r="P12" s="280"/>
      <c r="Q12" s="280"/>
      <c r="R12" s="279">
        <f t="shared" si="4"/>
        <v>0</v>
      </c>
    </row>
    <row r="13" spans="1:18" ht="12.75" customHeight="1" x14ac:dyDescent="0.25">
      <c r="A13" s="265">
        <f t="shared" si="5"/>
        <v>9</v>
      </c>
      <c r="B13" s="270" t="s">
        <v>537</v>
      </c>
      <c r="C13" s="267" t="s">
        <v>6</v>
      </c>
      <c r="D13" s="280"/>
      <c r="E13" s="280"/>
      <c r="F13" s="278">
        <f t="shared" si="0"/>
        <v>0</v>
      </c>
      <c r="G13" s="280"/>
      <c r="H13" s="280"/>
      <c r="I13" s="279">
        <f t="shared" si="1"/>
        <v>0</v>
      </c>
      <c r="J13" s="280">
        <v>6.3</v>
      </c>
      <c r="K13" s="280"/>
      <c r="L13" s="279">
        <f t="shared" si="2"/>
        <v>6.3</v>
      </c>
      <c r="M13" s="280"/>
      <c r="N13" s="280"/>
      <c r="O13" s="279">
        <f t="shared" si="3"/>
        <v>0</v>
      </c>
      <c r="P13" s="280"/>
      <c r="Q13" s="280"/>
      <c r="R13" s="279">
        <f t="shared" si="4"/>
        <v>0</v>
      </c>
    </row>
    <row r="14" spans="1:18" ht="12.75" customHeight="1" x14ac:dyDescent="0.25">
      <c r="A14" s="265">
        <f t="shared" si="5"/>
        <v>10</v>
      </c>
      <c r="B14" s="269" t="s">
        <v>538</v>
      </c>
      <c r="C14" s="267" t="s">
        <v>6</v>
      </c>
      <c r="D14" s="280"/>
      <c r="E14" s="280"/>
      <c r="F14" s="278">
        <f t="shared" si="0"/>
        <v>0</v>
      </c>
      <c r="G14" s="280"/>
      <c r="H14" s="280"/>
      <c r="I14" s="279">
        <f t="shared" si="1"/>
        <v>0</v>
      </c>
      <c r="J14" s="280"/>
      <c r="K14" s="280"/>
      <c r="L14" s="279">
        <f t="shared" si="2"/>
        <v>0</v>
      </c>
      <c r="M14" s="280"/>
      <c r="N14" s="280"/>
      <c r="O14" s="279">
        <f t="shared" si="3"/>
        <v>0</v>
      </c>
      <c r="P14" s="280"/>
      <c r="Q14" s="280"/>
      <c r="R14" s="279">
        <f t="shared" si="4"/>
        <v>0</v>
      </c>
    </row>
    <row r="15" spans="1:18" ht="12.75" customHeight="1" x14ac:dyDescent="0.25">
      <c r="A15" s="265">
        <f t="shared" si="5"/>
        <v>11</v>
      </c>
      <c r="B15" s="270" t="s">
        <v>539</v>
      </c>
      <c r="C15" s="267" t="s">
        <v>6</v>
      </c>
      <c r="D15" s="280"/>
      <c r="E15" s="280"/>
      <c r="F15" s="278">
        <f t="shared" si="0"/>
        <v>0</v>
      </c>
      <c r="G15" s="280"/>
      <c r="H15" s="280"/>
      <c r="I15" s="279">
        <f t="shared" si="1"/>
        <v>0</v>
      </c>
      <c r="J15" s="280"/>
      <c r="K15" s="280"/>
      <c r="L15" s="279">
        <f t="shared" si="2"/>
        <v>0</v>
      </c>
      <c r="M15" s="280"/>
      <c r="N15" s="280"/>
      <c r="O15" s="279">
        <f t="shared" si="3"/>
        <v>0</v>
      </c>
      <c r="P15" s="280"/>
      <c r="Q15" s="280"/>
      <c r="R15" s="279">
        <f t="shared" si="4"/>
        <v>0</v>
      </c>
    </row>
    <row r="16" spans="1:18" s="1" customFormat="1" ht="12.75" customHeight="1" x14ac:dyDescent="0.25">
      <c r="A16" s="271">
        <f t="shared" si="5"/>
        <v>12</v>
      </c>
      <c r="B16" s="297" t="s">
        <v>540</v>
      </c>
      <c r="C16" s="273" t="s">
        <v>6</v>
      </c>
      <c r="D16" s="283"/>
      <c r="E16" s="283"/>
      <c r="F16" s="284">
        <f t="shared" si="0"/>
        <v>0</v>
      </c>
      <c r="G16" s="283"/>
      <c r="H16" s="283"/>
      <c r="I16" s="285">
        <f t="shared" si="1"/>
        <v>0</v>
      </c>
      <c r="J16" s="283"/>
      <c r="K16" s="283"/>
      <c r="L16" s="285">
        <f t="shared" si="2"/>
        <v>0</v>
      </c>
      <c r="M16" s="283"/>
      <c r="N16" s="283"/>
      <c r="O16" s="285">
        <f t="shared" si="3"/>
        <v>0</v>
      </c>
      <c r="P16" s="283"/>
      <c r="Q16" s="283"/>
      <c r="R16" s="285">
        <f t="shared" si="4"/>
        <v>0</v>
      </c>
    </row>
    <row r="17" spans="1:18" s="1" customFormat="1" ht="12.75" customHeight="1" x14ac:dyDescent="0.25">
      <c r="A17" s="271">
        <f t="shared" si="5"/>
        <v>13</v>
      </c>
      <c r="B17" s="297" t="s">
        <v>541</v>
      </c>
      <c r="C17" s="273" t="s">
        <v>6</v>
      </c>
      <c r="D17" s="283"/>
      <c r="E17" s="283"/>
      <c r="F17" s="284">
        <f t="shared" si="0"/>
        <v>0</v>
      </c>
      <c r="G17" s="283"/>
      <c r="H17" s="283"/>
      <c r="I17" s="285">
        <f t="shared" si="1"/>
        <v>0</v>
      </c>
      <c r="J17" s="283"/>
      <c r="K17" s="283"/>
      <c r="L17" s="285">
        <f t="shared" si="2"/>
        <v>0</v>
      </c>
      <c r="M17" s="283"/>
      <c r="N17" s="283"/>
      <c r="O17" s="285">
        <f t="shared" si="3"/>
        <v>0</v>
      </c>
      <c r="P17" s="283"/>
      <c r="Q17" s="283"/>
      <c r="R17" s="285">
        <f t="shared" si="4"/>
        <v>0</v>
      </c>
    </row>
    <row r="18" spans="1:18" ht="12.75" customHeight="1" x14ac:dyDescent="0.25">
      <c r="A18" s="272">
        <f t="shared" si="5"/>
        <v>14</v>
      </c>
      <c r="B18" s="287" t="s">
        <v>732</v>
      </c>
      <c r="C18" s="288" t="s">
        <v>6</v>
      </c>
      <c r="D18" s="289">
        <f t="shared" ref="D18:Q18" si="6">D5+D7-D10-D12+D14+D16</f>
        <v>337.98</v>
      </c>
      <c r="E18" s="289">
        <f t="shared" si="6"/>
        <v>163.72999999999999</v>
      </c>
      <c r="F18" s="290">
        <f t="shared" si="0"/>
        <v>501.71000000000004</v>
      </c>
      <c r="G18" s="289">
        <f t="shared" si="6"/>
        <v>415.65600000000001</v>
      </c>
      <c r="H18" s="289">
        <f t="shared" si="6"/>
        <v>163.72999999999999</v>
      </c>
      <c r="I18" s="291">
        <f t="shared" si="1"/>
        <v>579.38599999999997</v>
      </c>
      <c r="J18" s="289">
        <f t="shared" si="6"/>
        <v>1907.9690000000001</v>
      </c>
      <c r="K18" s="289">
        <f t="shared" si="6"/>
        <v>163.72999999999999</v>
      </c>
      <c r="L18" s="291">
        <f t="shared" si="2"/>
        <v>2071.6990000000001</v>
      </c>
      <c r="M18" s="289">
        <f t="shared" si="6"/>
        <v>1907.9690000000001</v>
      </c>
      <c r="N18" s="289">
        <f t="shared" si="6"/>
        <v>163.72999999999999</v>
      </c>
      <c r="O18" s="291">
        <f t="shared" si="3"/>
        <v>2071.6990000000001</v>
      </c>
      <c r="P18" s="289">
        <f t="shared" si="6"/>
        <v>1907.9690000000001</v>
      </c>
      <c r="Q18" s="289">
        <f t="shared" si="6"/>
        <v>163.72999999999999</v>
      </c>
      <c r="R18" s="291">
        <f t="shared" si="4"/>
        <v>2071.6990000000001</v>
      </c>
    </row>
    <row r="19" spans="1:18" ht="12.75" customHeight="1" x14ac:dyDescent="0.25">
      <c r="A19" s="272">
        <f t="shared" si="5"/>
        <v>15</v>
      </c>
      <c r="B19" s="287" t="s">
        <v>733</v>
      </c>
      <c r="C19" s="288" t="s">
        <v>6</v>
      </c>
      <c r="D19" s="289">
        <f t="shared" ref="D19:Q19" si="7">D6+D7-D8-D11-D13+D15+D17</f>
        <v>168.57</v>
      </c>
      <c r="E19" s="289">
        <f t="shared" si="7"/>
        <v>110.94</v>
      </c>
      <c r="F19" s="290">
        <f t="shared" si="0"/>
        <v>279.51</v>
      </c>
      <c r="G19" s="289">
        <f t="shared" si="7"/>
        <v>234.41599999999997</v>
      </c>
      <c r="H19" s="289">
        <f t="shared" si="7"/>
        <v>106.85</v>
      </c>
      <c r="I19" s="291">
        <f t="shared" si="1"/>
        <v>341.26599999999996</v>
      </c>
      <c r="J19" s="289">
        <f t="shared" si="7"/>
        <v>1765.8689999999999</v>
      </c>
      <c r="K19" s="289">
        <f t="shared" si="7"/>
        <v>102.75999999999999</v>
      </c>
      <c r="L19" s="291">
        <f t="shared" si="2"/>
        <v>1868.6289999999999</v>
      </c>
      <c r="M19" s="289">
        <f t="shared" si="7"/>
        <v>1696.3804586583926</v>
      </c>
      <c r="N19" s="289">
        <f t="shared" si="7"/>
        <v>98.669999999999987</v>
      </c>
      <c r="O19" s="291">
        <f t="shared" si="3"/>
        <v>1795.0504586583927</v>
      </c>
      <c r="P19" s="289">
        <f t="shared" si="7"/>
        <v>1626.8919173167853</v>
      </c>
      <c r="Q19" s="289">
        <f t="shared" si="7"/>
        <v>94.579999999999984</v>
      </c>
      <c r="R19" s="291">
        <f t="shared" si="4"/>
        <v>1721.4719173167853</v>
      </c>
    </row>
    <row r="20" spans="1:18" s="296" customFormat="1" ht="12.75" customHeight="1" x14ac:dyDescent="0.25">
      <c r="A20" s="265">
        <f t="shared" si="5"/>
        <v>16</v>
      </c>
      <c r="B20" s="274" t="s">
        <v>542</v>
      </c>
      <c r="C20" s="273" t="s">
        <v>6</v>
      </c>
      <c r="D20" s="286"/>
      <c r="E20" s="286"/>
      <c r="F20" s="294">
        <f t="shared" si="0"/>
        <v>0</v>
      </c>
      <c r="G20" s="286"/>
      <c r="H20" s="286"/>
      <c r="I20" s="295">
        <f t="shared" si="1"/>
        <v>0</v>
      </c>
      <c r="J20" s="286"/>
      <c r="K20" s="286"/>
      <c r="L20" s="295">
        <f t="shared" si="2"/>
        <v>0</v>
      </c>
      <c r="M20" s="286"/>
      <c r="N20" s="286"/>
      <c r="O20" s="295">
        <f t="shared" si="3"/>
        <v>0</v>
      </c>
      <c r="P20" s="286"/>
      <c r="Q20" s="286"/>
      <c r="R20" s="295">
        <f t="shared" si="4"/>
        <v>0</v>
      </c>
    </row>
    <row r="21" spans="1:18" s="1" customFormat="1" ht="26.1" customHeight="1" x14ac:dyDescent="0.25">
      <c r="A21" s="373">
        <f t="shared" si="5"/>
        <v>17</v>
      </c>
      <c r="B21" s="467" t="s">
        <v>734</v>
      </c>
      <c r="C21" s="468" t="s">
        <v>6</v>
      </c>
      <c r="D21" s="469">
        <f>D18+D20</f>
        <v>337.98</v>
      </c>
      <c r="E21" s="469">
        <f>E18+E20</f>
        <v>163.72999999999999</v>
      </c>
      <c r="F21" s="470">
        <f t="shared" si="0"/>
        <v>501.71000000000004</v>
      </c>
      <c r="G21" s="469">
        <f>G18+G20</f>
        <v>415.65600000000001</v>
      </c>
      <c r="H21" s="469">
        <f>H18+H20</f>
        <v>163.72999999999999</v>
      </c>
      <c r="I21" s="471">
        <f t="shared" si="1"/>
        <v>579.38599999999997</v>
      </c>
      <c r="J21" s="469">
        <f>J18+J20</f>
        <v>1907.9690000000001</v>
      </c>
      <c r="K21" s="469">
        <f>K18+K20</f>
        <v>163.72999999999999</v>
      </c>
      <c r="L21" s="471">
        <f t="shared" si="2"/>
        <v>2071.6990000000001</v>
      </c>
      <c r="M21" s="469">
        <f>M18+M20</f>
        <v>1907.9690000000001</v>
      </c>
      <c r="N21" s="469">
        <f>N18+N20</f>
        <v>163.72999999999999</v>
      </c>
      <c r="O21" s="471">
        <f t="shared" si="3"/>
        <v>2071.6990000000001</v>
      </c>
      <c r="P21" s="469">
        <f>P18+P20</f>
        <v>1907.9690000000001</v>
      </c>
      <c r="Q21" s="469">
        <f>Q18+Q20</f>
        <v>163.72999999999999</v>
      </c>
      <c r="R21" s="471">
        <f t="shared" si="4"/>
        <v>2071.6990000000001</v>
      </c>
    </row>
    <row r="22" spans="1:18" s="1" customFormat="1" ht="26.1" customHeight="1" x14ac:dyDescent="0.25">
      <c r="A22" s="373">
        <f t="shared" si="5"/>
        <v>18</v>
      </c>
      <c r="B22" s="467" t="s">
        <v>735</v>
      </c>
      <c r="C22" s="468" t="s">
        <v>6</v>
      </c>
      <c r="D22" s="469">
        <f>D19+D20</f>
        <v>168.57</v>
      </c>
      <c r="E22" s="469">
        <f>E19+E20</f>
        <v>110.94</v>
      </c>
      <c r="F22" s="470">
        <f t="shared" si="0"/>
        <v>279.51</v>
      </c>
      <c r="G22" s="469">
        <f>G19+G20</f>
        <v>234.41599999999997</v>
      </c>
      <c r="H22" s="469">
        <f>H19+H20</f>
        <v>106.85</v>
      </c>
      <c r="I22" s="471">
        <f t="shared" si="1"/>
        <v>341.26599999999996</v>
      </c>
      <c r="J22" s="469">
        <f>J19+J20</f>
        <v>1765.8689999999999</v>
      </c>
      <c r="K22" s="469">
        <f>K19+K20</f>
        <v>102.75999999999999</v>
      </c>
      <c r="L22" s="471">
        <f t="shared" si="2"/>
        <v>1868.6289999999999</v>
      </c>
      <c r="M22" s="469">
        <f>M19+M20</f>
        <v>1696.3804586583926</v>
      </c>
      <c r="N22" s="469">
        <f>N19+N20</f>
        <v>98.669999999999987</v>
      </c>
      <c r="O22" s="471">
        <f t="shared" si="3"/>
        <v>1795.0504586583927</v>
      </c>
      <c r="P22" s="469">
        <f>P19+P20</f>
        <v>1626.8919173167853</v>
      </c>
      <c r="Q22" s="469">
        <f>Q19+Q20</f>
        <v>94.579999999999984</v>
      </c>
      <c r="R22" s="471">
        <f t="shared" si="4"/>
        <v>1721.4719173167853</v>
      </c>
    </row>
    <row r="23" spans="1:18" ht="12.75" customHeight="1" x14ac:dyDescent="0.25">
      <c r="A23" s="272">
        <f t="shared" si="5"/>
        <v>19</v>
      </c>
      <c r="B23" s="275" t="s">
        <v>543</v>
      </c>
      <c r="C23" s="27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</row>
    <row r="24" spans="1:18" s="296" customFormat="1" ht="12.75" customHeight="1" x14ac:dyDescent="0.25">
      <c r="A24" s="265">
        <f t="shared" si="5"/>
        <v>20</v>
      </c>
      <c r="B24" s="268" t="s">
        <v>544</v>
      </c>
      <c r="C24" s="265" t="s">
        <v>2</v>
      </c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</row>
    <row r="25" spans="1:18" s="296" customFormat="1" ht="12.75" customHeight="1" x14ac:dyDescent="0.25">
      <c r="A25" s="265">
        <f t="shared" si="5"/>
        <v>21</v>
      </c>
      <c r="B25" s="268" t="s">
        <v>545</v>
      </c>
      <c r="C25" s="265" t="s">
        <v>2</v>
      </c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</row>
    <row r="26" spans="1:18" s="296" customFormat="1" ht="12.75" customHeight="1" x14ac:dyDescent="0.25">
      <c r="A26" s="265">
        <f t="shared" si="5"/>
        <v>22</v>
      </c>
      <c r="B26" s="268" t="s">
        <v>546</v>
      </c>
      <c r="C26" s="265" t="s">
        <v>2</v>
      </c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</row>
    <row r="27" spans="1:18" s="296" customFormat="1" ht="12.75" customHeight="1" x14ac:dyDescent="0.25">
      <c r="A27" s="265">
        <f t="shared" si="5"/>
        <v>23</v>
      </c>
      <c r="B27" s="268" t="s">
        <v>547</v>
      </c>
      <c r="C27" s="265" t="s">
        <v>2</v>
      </c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</row>
    <row r="28" spans="1:18" s="1" customFormat="1" ht="29.25" customHeight="1" x14ac:dyDescent="0.25">
      <c r="A28" s="373">
        <f t="shared" si="5"/>
        <v>24</v>
      </c>
      <c r="B28" s="410" t="s">
        <v>627</v>
      </c>
      <c r="C28" s="271" t="s">
        <v>2</v>
      </c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</row>
    <row r="31" spans="1:18" x14ac:dyDescent="0.25">
      <c r="A31" s="147" t="s">
        <v>634</v>
      </c>
    </row>
    <row r="32" spans="1:18" x14ac:dyDescent="0.25">
      <c r="A32" s="784" t="s">
        <v>687</v>
      </c>
      <c r="B32" s="784"/>
      <c r="C32" s="784"/>
      <c r="D32" s="784"/>
      <c r="E32" s="784"/>
      <c r="F32" s="784"/>
      <c r="G32" s="784"/>
      <c r="H32" s="784"/>
      <c r="I32" s="784"/>
      <c r="J32" s="784"/>
      <c r="K32" s="784"/>
      <c r="L32" s="784"/>
      <c r="M32" s="784"/>
      <c r="N32" s="784"/>
      <c r="O32" s="784"/>
      <c r="P32" s="784"/>
      <c r="Q32" s="784"/>
      <c r="R32" s="784"/>
    </row>
    <row r="33" spans="1:19" x14ac:dyDescent="0.25">
      <c r="A33" s="784"/>
      <c r="B33" s="784"/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784"/>
      <c r="Q33" s="784"/>
      <c r="R33" s="784"/>
    </row>
    <row r="34" spans="1:19" x14ac:dyDescent="0.25">
      <c r="A34" s="784" t="s">
        <v>614</v>
      </c>
      <c r="B34" s="784"/>
      <c r="C34" s="784"/>
      <c r="D34" s="784"/>
      <c r="E34" s="784"/>
      <c r="F34" s="784"/>
      <c r="G34" s="784"/>
      <c r="H34" s="784"/>
      <c r="I34" s="784"/>
      <c r="J34" s="784"/>
      <c r="K34" s="784"/>
      <c r="L34" s="784"/>
      <c r="M34" s="784"/>
      <c r="N34" s="784"/>
      <c r="O34" s="784"/>
      <c r="P34" s="784"/>
      <c r="Q34" s="784"/>
      <c r="R34" s="784"/>
    </row>
    <row r="35" spans="1:19" x14ac:dyDescent="0.25">
      <c r="A35" s="784"/>
      <c r="B35" s="784"/>
      <c r="C35" s="784"/>
      <c r="D35" s="784"/>
      <c r="E35" s="784"/>
      <c r="F35" s="784"/>
      <c r="G35" s="784"/>
      <c r="H35" s="784"/>
      <c r="I35" s="784"/>
      <c r="J35" s="784"/>
      <c r="K35" s="784"/>
      <c r="L35" s="784"/>
      <c r="M35" s="784"/>
      <c r="N35" s="784"/>
      <c r="O35" s="784"/>
      <c r="P35" s="784"/>
      <c r="Q35" s="784"/>
      <c r="R35" s="784"/>
    </row>
    <row r="37" spans="1:19" x14ac:dyDescent="0.25">
      <c r="A37" s="39" t="s">
        <v>637</v>
      </c>
    </row>
    <row r="38" spans="1:19" s="416" customFormat="1" x14ac:dyDescent="0.25">
      <c r="A38" s="416" t="s">
        <v>662</v>
      </c>
    </row>
    <row r="39" spans="1:19" x14ac:dyDescent="0.25">
      <c r="A39" s="111"/>
    </row>
    <row r="40" spans="1:19" s="378" customFormat="1" ht="12" x14ac:dyDescent="0.2">
      <c r="A40" s="267" t="s">
        <v>635</v>
      </c>
      <c r="B40" s="385"/>
      <c r="C40" s="400"/>
      <c r="D40" s="401" t="s">
        <v>0</v>
      </c>
      <c r="E40" s="402">
        <v>2003</v>
      </c>
      <c r="F40" s="402">
        <f>SUM(E40+1)</f>
        <v>2004</v>
      </c>
      <c r="G40" s="402">
        <f t="shared" ref="G40:Q40" si="8">SUM(F40+1)</f>
        <v>2005</v>
      </c>
      <c r="H40" s="402">
        <f t="shared" si="8"/>
        <v>2006</v>
      </c>
      <c r="I40" s="402">
        <f t="shared" si="8"/>
        <v>2007</v>
      </c>
      <c r="J40" s="402">
        <f t="shared" si="8"/>
        <v>2008</v>
      </c>
      <c r="K40" s="402">
        <f t="shared" si="8"/>
        <v>2009</v>
      </c>
      <c r="L40" s="402">
        <f t="shared" si="8"/>
        <v>2010</v>
      </c>
      <c r="M40" s="402">
        <f t="shared" si="8"/>
        <v>2011</v>
      </c>
      <c r="N40" s="402">
        <f t="shared" si="8"/>
        <v>2012</v>
      </c>
      <c r="O40" s="402">
        <f t="shared" si="8"/>
        <v>2013</v>
      </c>
      <c r="P40" s="403">
        <f t="shared" si="8"/>
        <v>2014</v>
      </c>
      <c r="Q40" s="402">
        <f t="shared" si="8"/>
        <v>2015</v>
      </c>
      <c r="R40" s="402">
        <f>SUM(Q40+1)</f>
        <v>2016</v>
      </c>
      <c r="S40" s="402">
        <f>SUM(R40+1)</f>
        <v>2017</v>
      </c>
    </row>
    <row r="41" spans="1:19" s="378" customFormat="1" ht="24.75" customHeight="1" x14ac:dyDescent="0.2">
      <c r="A41" s="265">
        <v>1</v>
      </c>
      <c r="B41" s="386" t="s">
        <v>640</v>
      </c>
      <c r="C41" s="387" t="s">
        <v>647</v>
      </c>
      <c r="D41" s="267" t="s">
        <v>6</v>
      </c>
      <c r="E41" s="384"/>
      <c r="F41" s="380">
        <f t="shared" ref="F41:Q41" si="9">E41-E47</f>
        <v>0</v>
      </c>
      <c r="G41" s="380">
        <f t="shared" si="9"/>
        <v>0</v>
      </c>
      <c r="H41" s="380">
        <f t="shared" si="9"/>
        <v>0</v>
      </c>
      <c r="I41" s="380">
        <f t="shared" si="9"/>
        <v>0</v>
      </c>
      <c r="J41" s="380">
        <f t="shared" si="9"/>
        <v>0</v>
      </c>
      <c r="K41" s="380">
        <f t="shared" si="9"/>
        <v>0</v>
      </c>
      <c r="L41" s="380">
        <f t="shared" si="9"/>
        <v>0</v>
      </c>
      <c r="M41" s="380">
        <f t="shared" si="9"/>
        <v>0</v>
      </c>
      <c r="N41" s="380">
        <f t="shared" si="9"/>
        <v>0</v>
      </c>
      <c r="O41" s="380">
        <f t="shared" si="9"/>
        <v>0</v>
      </c>
      <c r="P41" s="404">
        <f t="shared" si="9"/>
        <v>0</v>
      </c>
      <c r="Q41" s="380">
        <f t="shared" si="9"/>
        <v>0</v>
      </c>
      <c r="R41" s="380">
        <f>Q41-Q47</f>
        <v>0</v>
      </c>
      <c r="S41" s="380">
        <f>R41-R47</f>
        <v>0</v>
      </c>
    </row>
    <row r="42" spans="1:19" s="378" customFormat="1" ht="36" x14ac:dyDescent="0.2">
      <c r="A42" s="265">
        <f>A41+1</f>
        <v>2</v>
      </c>
      <c r="B42" s="386" t="s">
        <v>641</v>
      </c>
      <c r="C42" s="388"/>
      <c r="D42" s="267" t="s">
        <v>6</v>
      </c>
      <c r="E42" s="380">
        <f>E41</f>
        <v>0</v>
      </c>
      <c r="F42" s="380">
        <f t="shared" ref="F42:Q42" si="10">E42-E49-E47</f>
        <v>0</v>
      </c>
      <c r="G42" s="380">
        <f t="shared" si="10"/>
        <v>0</v>
      </c>
      <c r="H42" s="380">
        <f t="shared" si="10"/>
        <v>0</v>
      </c>
      <c r="I42" s="380">
        <f t="shared" si="10"/>
        <v>0</v>
      </c>
      <c r="J42" s="380">
        <f t="shared" si="10"/>
        <v>0</v>
      </c>
      <c r="K42" s="380">
        <f t="shared" si="10"/>
        <v>0</v>
      </c>
      <c r="L42" s="380">
        <f t="shared" si="10"/>
        <v>0</v>
      </c>
      <c r="M42" s="380">
        <f t="shared" si="10"/>
        <v>0</v>
      </c>
      <c r="N42" s="380">
        <f t="shared" si="10"/>
        <v>0</v>
      </c>
      <c r="O42" s="380">
        <f t="shared" si="10"/>
        <v>0</v>
      </c>
      <c r="P42" s="404">
        <f t="shared" si="10"/>
        <v>0</v>
      </c>
      <c r="Q42" s="380">
        <f t="shared" si="10"/>
        <v>0</v>
      </c>
      <c r="R42" s="380">
        <f>Q42-Q49-Q47</f>
        <v>0</v>
      </c>
      <c r="S42" s="380">
        <f>R42-R49-R47</f>
        <v>0</v>
      </c>
    </row>
    <row r="43" spans="1:19" s="378" customFormat="1" ht="26.25" customHeight="1" x14ac:dyDescent="0.2">
      <c r="A43" s="265">
        <f t="shared" ref="A43:A53" si="11">A42+1</f>
        <v>3</v>
      </c>
      <c r="B43" s="389" t="s">
        <v>638</v>
      </c>
      <c r="C43" s="387" t="s">
        <v>648</v>
      </c>
      <c r="D43" s="267" t="s">
        <v>6</v>
      </c>
      <c r="E43" s="380">
        <v>0</v>
      </c>
      <c r="F43" s="380">
        <f>E43+E46</f>
        <v>0</v>
      </c>
      <c r="G43" s="380">
        <f t="shared" ref="G43:Q43" si="12">F43+F46</f>
        <v>0</v>
      </c>
      <c r="H43" s="380">
        <f t="shared" si="12"/>
        <v>0</v>
      </c>
      <c r="I43" s="380">
        <f t="shared" si="12"/>
        <v>0</v>
      </c>
      <c r="J43" s="380">
        <f t="shared" si="12"/>
        <v>0</v>
      </c>
      <c r="K43" s="380">
        <f t="shared" si="12"/>
        <v>0</v>
      </c>
      <c r="L43" s="380">
        <f t="shared" si="12"/>
        <v>0</v>
      </c>
      <c r="M43" s="380">
        <f t="shared" si="12"/>
        <v>0</v>
      </c>
      <c r="N43" s="380">
        <f t="shared" si="12"/>
        <v>0</v>
      </c>
      <c r="O43" s="380">
        <f t="shared" si="12"/>
        <v>0</v>
      </c>
      <c r="P43" s="404">
        <f t="shared" si="12"/>
        <v>0</v>
      </c>
      <c r="Q43" s="380">
        <f t="shared" si="12"/>
        <v>0</v>
      </c>
      <c r="R43" s="380">
        <f>Q43+Q46</f>
        <v>0</v>
      </c>
      <c r="S43" s="380">
        <f>R43+R46</f>
        <v>0</v>
      </c>
    </row>
    <row r="44" spans="1:19" s="378" customFormat="1" ht="12" x14ac:dyDescent="0.2">
      <c r="A44" s="265">
        <f t="shared" si="11"/>
        <v>4</v>
      </c>
      <c r="B44" s="389" t="s">
        <v>639</v>
      </c>
      <c r="C44" s="390"/>
      <c r="D44" s="267" t="s">
        <v>6</v>
      </c>
      <c r="E44" s="380">
        <v>0</v>
      </c>
      <c r="F44" s="380">
        <f>F43-E51</f>
        <v>0</v>
      </c>
      <c r="G44" s="380">
        <f>G43-SUM($E51:F51)</f>
        <v>0</v>
      </c>
      <c r="H44" s="380">
        <f>H43-SUM($E51:G51)</f>
        <v>0</v>
      </c>
      <c r="I44" s="380">
        <f>I43-SUM($E51:H51)</f>
        <v>0</v>
      </c>
      <c r="J44" s="380">
        <f>J43-SUM($E51:I51)</f>
        <v>0</v>
      </c>
      <c r="K44" s="380">
        <f>K43-SUM($E51:J51)</f>
        <v>0</v>
      </c>
      <c r="L44" s="380">
        <f>L43-SUM($E51:K51)</f>
        <v>0</v>
      </c>
      <c r="M44" s="380">
        <f>M43-SUM($E51:L51)</f>
        <v>0</v>
      </c>
      <c r="N44" s="380">
        <f>N43-SUM($E51:M51)</f>
        <v>0</v>
      </c>
      <c r="O44" s="380">
        <f>O43-SUM($E51:N51)</f>
        <v>0</v>
      </c>
      <c r="P44" s="404">
        <f>P43-SUM($E51:O51)</f>
        <v>0</v>
      </c>
      <c r="Q44" s="380">
        <f>Q43-SUM($E51:P51)</f>
        <v>0</v>
      </c>
      <c r="R44" s="380">
        <f>R43-SUM($E51:Q51)</f>
        <v>0</v>
      </c>
      <c r="S44" s="380">
        <f>S43-SUM($E51:R51)</f>
        <v>0</v>
      </c>
    </row>
    <row r="45" spans="1:19" s="378" customFormat="1" ht="24" x14ac:dyDescent="0.2">
      <c r="A45" s="272">
        <f t="shared" si="11"/>
        <v>5</v>
      </c>
      <c r="B45" s="391" t="s">
        <v>659</v>
      </c>
      <c r="C45" s="392" t="s">
        <v>642</v>
      </c>
      <c r="D45" s="276" t="s">
        <v>6</v>
      </c>
      <c r="E45" s="383">
        <f>E42+E44</f>
        <v>0</v>
      </c>
      <c r="F45" s="383">
        <f>F42+F44</f>
        <v>0</v>
      </c>
      <c r="G45" s="383">
        <f t="shared" ref="G45:Q45" si="13">G42+G44</f>
        <v>0</v>
      </c>
      <c r="H45" s="383">
        <f t="shared" si="13"/>
        <v>0</v>
      </c>
      <c r="I45" s="383">
        <f t="shared" si="13"/>
        <v>0</v>
      </c>
      <c r="J45" s="383">
        <f t="shared" si="13"/>
        <v>0</v>
      </c>
      <c r="K45" s="383">
        <f t="shared" si="13"/>
        <v>0</v>
      </c>
      <c r="L45" s="383">
        <f t="shared" si="13"/>
        <v>0</v>
      </c>
      <c r="M45" s="383">
        <f t="shared" si="13"/>
        <v>0</v>
      </c>
      <c r="N45" s="383">
        <f t="shared" si="13"/>
        <v>0</v>
      </c>
      <c r="O45" s="383">
        <f t="shared" si="13"/>
        <v>0</v>
      </c>
      <c r="P45" s="408">
        <f t="shared" si="13"/>
        <v>0</v>
      </c>
      <c r="Q45" s="383">
        <f t="shared" si="13"/>
        <v>0</v>
      </c>
      <c r="R45" s="383">
        <f>R42+R44</f>
        <v>0</v>
      </c>
      <c r="S45" s="383">
        <f>S42+S44</f>
        <v>0</v>
      </c>
    </row>
    <row r="46" spans="1:19" s="378" customFormat="1" ht="12" x14ac:dyDescent="0.2">
      <c r="A46" s="265">
        <f t="shared" si="11"/>
        <v>6</v>
      </c>
      <c r="B46" s="393" t="s">
        <v>636</v>
      </c>
      <c r="C46" s="394" t="s">
        <v>655</v>
      </c>
      <c r="D46" s="267" t="s">
        <v>6</v>
      </c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</row>
    <row r="47" spans="1:19" s="378" customFormat="1" ht="12" x14ac:dyDescent="0.2">
      <c r="A47" s="265">
        <f t="shared" si="11"/>
        <v>7</v>
      </c>
      <c r="B47" s="393" t="s">
        <v>656</v>
      </c>
      <c r="C47" s="394" t="s">
        <v>657</v>
      </c>
      <c r="D47" s="267" t="s">
        <v>6</v>
      </c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409"/>
      <c r="Q47" s="384"/>
      <c r="R47" s="384"/>
      <c r="S47" s="384"/>
    </row>
    <row r="48" spans="1:19" s="378" customFormat="1" ht="12" x14ac:dyDescent="0.2">
      <c r="A48" s="265">
        <f t="shared" si="11"/>
        <v>8</v>
      </c>
      <c r="B48" s="395" t="s">
        <v>645</v>
      </c>
      <c r="C48" s="373" t="s">
        <v>643</v>
      </c>
      <c r="D48" s="396" t="s">
        <v>2</v>
      </c>
      <c r="E48" s="397"/>
      <c r="F48" s="379">
        <f t="shared" ref="F48:S48" si="14">$E$48</f>
        <v>0</v>
      </c>
      <c r="G48" s="379">
        <f t="shared" si="14"/>
        <v>0</v>
      </c>
      <c r="H48" s="379">
        <f t="shared" si="14"/>
        <v>0</v>
      </c>
      <c r="I48" s="379">
        <f t="shared" si="14"/>
        <v>0</v>
      </c>
      <c r="J48" s="379">
        <f t="shared" si="14"/>
        <v>0</v>
      </c>
      <c r="K48" s="379">
        <f t="shared" si="14"/>
        <v>0</v>
      </c>
      <c r="L48" s="379">
        <f t="shared" si="14"/>
        <v>0</v>
      </c>
      <c r="M48" s="379">
        <f t="shared" si="14"/>
        <v>0</v>
      </c>
      <c r="N48" s="379">
        <f t="shared" si="14"/>
        <v>0</v>
      </c>
      <c r="O48" s="379">
        <f t="shared" si="14"/>
        <v>0</v>
      </c>
      <c r="P48" s="405">
        <f t="shared" si="14"/>
        <v>0</v>
      </c>
      <c r="Q48" s="379">
        <f t="shared" si="14"/>
        <v>0</v>
      </c>
      <c r="R48" s="379">
        <f t="shared" si="14"/>
        <v>0</v>
      </c>
      <c r="S48" s="379">
        <f t="shared" si="14"/>
        <v>0</v>
      </c>
    </row>
    <row r="49" spans="1:19" s="378" customFormat="1" ht="12" x14ac:dyDescent="0.2">
      <c r="A49" s="265">
        <f t="shared" si="11"/>
        <v>9</v>
      </c>
      <c r="B49" s="393" t="s">
        <v>646</v>
      </c>
      <c r="C49" s="394" t="s">
        <v>649</v>
      </c>
      <c r="D49" s="267" t="s">
        <v>6</v>
      </c>
      <c r="E49" s="380">
        <f>E41*E48/100</f>
        <v>0</v>
      </c>
      <c r="F49" s="380">
        <f>F41*F48/100</f>
        <v>0</v>
      </c>
      <c r="G49" s="380">
        <f>G41*G48/100</f>
        <v>0</v>
      </c>
      <c r="H49" s="380">
        <f t="shared" ref="H49:Q49" si="15">H41*H48/100</f>
        <v>0</v>
      </c>
      <c r="I49" s="380">
        <f t="shared" si="15"/>
        <v>0</v>
      </c>
      <c r="J49" s="380">
        <f t="shared" si="15"/>
        <v>0</v>
      </c>
      <c r="K49" s="380">
        <f>K41*K48/100</f>
        <v>0</v>
      </c>
      <c r="L49" s="380">
        <f t="shared" si="15"/>
        <v>0</v>
      </c>
      <c r="M49" s="380">
        <f t="shared" si="15"/>
        <v>0</v>
      </c>
      <c r="N49" s="380">
        <f t="shared" si="15"/>
        <v>0</v>
      </c>
      <c r="O49" s="380">
        <f>O41*O48/100</f>
        <v>0</v>
      </c>
      <c r="P49" s="404">
        <f t="shared" si="15"/>
        <v>0</v>
      </c>
      <c r="Q49" s="380">
        <f t="shared" si="15"/>
        <v>0</v>
      </c>
      <c r="R49" s="380">
        <f>R41*R48/100</f>
        <v>0</v>
      </c>
      <c r="S49" s="380">
        <f>S41*S48/100</f>
        <v>0</v>
      </c>
    </row>
    <row r="50" spans="1:19" s="378" customFormat="1" ht="12" x14ac:dyDescent="0.2">
      <c r="A50" s="265">
        <f t="shared" si="11"/>
        <v>10</v>
      </c>
      <c r="B50" s="395" t="s">
        <v>650</v>
      </c>
      <c r="C50" s="373" t="s">
        <v>652</v>
      </c>
      <c r="D50" s="396" t="s">
        <v>2</v>
      </c>
      <c r="E50" s="397"/>
      <c r="F50" s="379">
        <f t="shared" ref="F50:S50" si="16">$E$50</f>
        <v>0</v>
      </c>
      <c r="G50" s="379">
        <f t="shared" si="16"/>
        <v>0</v>
      </c>
      <c r="H50" s="379">
        <f t="shared" si="16"/>
        <v>0</v>
      </c>
      <c r="I50" s="379">
        <f t="shared" si="16"/>
        <v>0</v>
      </c>
      <c r="J50" s="379">
        <f t="shared" si="16"/>
        <v>0</v>
      </c>
      <c r="K50" s="379">
        <f t="shared" si="16"/>
        <v>0</v>
      </c>
      <c r="L50" s="379">
        <f t="shared" si="16"/>
        <v>0</v>
      </c>
      <c r="M50" s="379">
        <f t="shared" si="16"/>
        <v>0</v>
      </c>
      <c r="N50" s="379">
        <f t="shared" si="16"/>
        <v>0</v>
      </c>
      <c r="O50" s="379">
        <f t="shared" si="16"/>
        <v>0</v>
      </c>
      <c r="P50" s="405">
        <f t="shared" si="16"/>
        <v>0</v>
      </c>
      <c r="Q50" s="379">
        <f t="shared" si="16"/>
        <v>0</v>
      </c>
      <c r="R50" s="379">
        <f t="shared" si="16"/>
        <v>0</v>
      </c>
      <c r="S50" s="379">
        <f t="shared" si="16"/>
        <v>0</v>
      </c>
    </row>
    <row r="51" spans="1:19" s="378" customFormat="1" ht="12" x14ac:dyDescent="0.2">
      <c r="A51" s="265">
        <f t="shared" si="11"/>
        <v>11</v>
      </c>
      <c r="B51" s="393" t="s">
        <v>653</v>
      </c>
      <c r="C51" s="394" t="s">
        <v>651</v>
      </c>
      <c r="D51" s="267" t="s">
        <v>6</v>
      </c>
      <c r="E51" s="381">
        <f>(E43*E50+E46/2*E50)/100</f>
        <v>0</v>
      </c>
      <c r="F51" s="381">
        <f t="shared" ref="F51:Q51" si="17">(F43*F50+F46/2*F50)/100</f>
        <v>0</v>
      </c>
      <c r="G51" s="381">
        <f t="shared" si="17"/>
        <v>0</v>
      </c>
      <c r="H51" s="381">
        <f t="shared" si="17"/>
        <v>0</v>
      </c>
      <c r="I51" s="381">
        <f t="shared" si="17"/>
        <v>0</v>
      </c>
      <c r="J51" s="381">
        <f t="shared" si="17"/>
        <v>0</v>
      </c>
      <c r="K51" s="381">
        <f t="shared" si="17"/>
        <v>0</v>
      </c>
      <c r="L51" s="381">
        <f t="shared" si="17"/>
        <v>0</v>
      </c>
      <c r="M51" s="381">
        <f t="shared" si="17"/>
        <v>0</v>
      </c>
      <c r="N51" s="381">
        <f t="shared" si="17"/>
        <v>0</v>
      </c>
      <c r="O51" s="381">
        <f t="shared" si="17"/>
        <v>0</v>
      </c>
      <c r="P51" s="406">
        <f t="shared" si="17"/>
        <v>0</v>
      </c>
      <c r="Q51" s="381">
        <f t="shared" si="17"/>
        <v>0</v>
      </c>
      <c r="R51" s="381">
        <f>(R43*R50+R46/2*R50)/100</f>
        <v>0</v>
      </c>
      <c r="S51" s="381">
        <f>(S43*S50+S46/2*S50)/100</f>
        <v>0</v>
      </c>
    </row>
    <row r="52" spans="1:19" s="378" customFormat="1" ht="12" x14ac:dyDescent="0.2">
      <c r="A52" s="272">
        <f t="shared" si="11"/>
        <v>12</v>
      </c>
      <c r="B52" s="398" t="s">
        <v>654</v>
      </c>
      <c r="C52" s="399" t="s">
        <v>658</v>
      </c>
      <c r="D52" s="276" t="s">
        <v>6</v>
      </c>
      <c r="E52" s="382">
        <f>E49+E51</f>
        <v>0</v>
      </c>
      <c r="F52" s="382">
        <f t="shared" ref="F52:Q52" si="18">F49+F51</f>
        <v>0</v>
      </c>
      <c r="G52" s="382">
        <f t="shared" si="18"/>
        <v>0</v>
      </c>
      <c r="H52" s="382">
        <f t="shared" si="18"/>
        <v>0</v>
      </c>
      <c r="I52" s="382">
        <f t="shared" si="18"/>
        <v>0</v>
      </c>
      <c r="J52" s="382">
        <f t="shared" si="18"/>
        <v>0</v>
      </c>
      <c r="K52" s="382">
        <f t="shared" si="18"/>
        <v>0</v>
      </c>
      <c r="L52" s="382">
        <f t="shared" si="18"/>
        <v>0</v>
      </c>
      <c r="M52" s="382">
        <f t="shared" si="18"/>
        <v>0</v>
      </c>
      <c r="N52" s="382">
        <f t="shared" si="18"/>
        <v>0</v>
      </c>
      <c r="O52" s="382">
        <f t="shared" si="18"/>
        <v>0</v>
      </c>
      <c r="P52" s="407">
        <f t="shared" si="18"/>
        <v>0</v>
      </c>
      <c r="Q52" s="382">
        <f t="shared" si="18"/>
        <v>0</v>
      </c>
      <c r="R52" s="382">
        <f>R49+R51</f>
        <v>0</v>
      </c>
      <c r="S52" s="382">
        <f>S49+S51</f>
        <v>0</v>
      </c>
    </row>
    <row r="53" spans="1:19" s="378" customFormat="1" ht="24" x14ac:dyDescent="0.2">
      <c r="A53" s="272">
        <f t="shared" si="11"/>
        <v>13</v>
      </c>
      <c r="B53" s="391" t="s">
        <v>660</v>
      </c>
      <c r="C53" s="394" t="s">
        <v>644</v>
      </c>
      <c r="D53" s="276" t="s">
        <v>6</v>
      </c>
      <c r="E53" s="383">
        <f>E45+E46-E47-E52</f>
        <v>0</v>
      </c>
      <c r="F53" s="383">
        <f>F45+F46-F47-F52</f>
        <v>0</v>
      </c>
      <c r="G53" s="383">
        <f t="shared" ref="G53:Q53" si="19">G45+G46-G47-G52</f>
        <v>0</v>
      </c>
      <c r="H53" s="383">
        <f t="shared" si="19"/>
        <v>0</v>
      </c>
      <c r="I53" s="383">
        <f t="shared" si="19"/>
        <v>0</v>
      </c>
      <c r="J53" s="383">
        <f t="shared" si="19"/>
        <v>0</v>
      </c>
      <c r="K53" s="383">
        <f t="shared" si="19"/>
        <v>0</v>
      </c>
      <c r="L53" s="383">
        <f t="shared" si="19"/>
        <v>0</v>
      </c>
      <c r="M53" s="383">
        <f t="shared" si="19"/>
        <v>0</v>
      </c>
      <c r="N53" s="383">
        <f t="shared" si="19"/>
        <v>0</v>
      </c>
      <c r="O53" s="383">
        <f t="shared" si="19"/>
        <v>0</v>
      </c>
      <c r="P53" s="408">
        <f t="shared" si="19"/>
        <v>0</v>
      </c>
      <c r="Q53" s="383">
        <f t="shared" si="19"/>
        <v>0</v>
      </c>
      <c r="R53" s="383">
        <f>R45+R46-R47-R52</f>
        <v>0</v>
      </c>
      <c r="S53" s="383">
        <f>S45+S46-S47-S52</f>
        <v>0</v>
      </c>
    </row>
    <row r="57" spans="1:19" x14ac:dyDescent="0.25">
      <c r="B57" s="377"/>
    </row>
  </sheetData>
  <mergeCells count="9">
    <mergeCell ref="A34:R35"/>
    <mergeCell ref="A32:R33"/>
    <mergeCell ref="P2:R2"/>
    <mergeCell ref="C1:D1"/>
    <mergeCell ref="B3:C3"/>
    <mergeCell ref="D2:F2"/>
    <mergeCell ref="G2:I2"/>
    <mergeCell ref="J2:L2"/>
    <mergeCell ref="M2:O2"/>
  </mergeCells>
  <dataValidations count="1">
    <dataValidation type="decimal" allowBlank="1" showInputMessage="1" showErrorMessage="1" error="Palun sisestada arv" sqref="D5:H17 J5:K17 M5:N17 O5:O22 L5:L22 D20:E20 F18:F22 G20:H20 P20:Q20 I5:I22 R5:R22 J20:K20 M20:N20 P5:Q17" xr:uid="{00000000-0002-0000-0700-000000000000}">
      <formula1>-100000</formula1>
      <formula2>100000000</formula2>
    </dataValidation>
  </dataValidations>
  <pageMargins left="0.7" right="0.7" top="0.75" bottom="0.75" header="0.3" footer="0.3"/>
  <pageSetup paperSize="8" scale="8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36"/>
  <sheetViews>
    <sheetView zoomScale="87" zoomScaleNormal="87" workbookViewId="0">
      <pane ySplit="6" topLeftCell="A7" activePane="bottomLeft" state="frozen"/>
      <selection pane="bottomLeft" activeCell="O87" sqref="O87"/>
    </sheetView>
  </sheetViews>
  <sheetFormatPr defaultRowHeight="15.75" outlineLevelRow="1" x14ac:dyDescent="0.25"/>
  <cols>
    <col min="1" max="1" width="5.375" style="23" customWidth="1"/>
    <col min="2" max="2" width="37.625" customWidth="1"/>
    <col min="3" max="4" width="11.125" customWidth="1"/>
    <col min="5" max="5" width="11.875" customWidth="1"/>
    <col min="6" max="7" width="12.125" customWidth="1"/>
    <col min="8" max="8" width="12.75" customWidth="1"/>
    <col min="9" max="13" width="11.125" customWidth="1"/>
  </cols>
  <sheetData>
    <row r="1" spans="1:13" ht="18.75" x14ac:dyDescent="0.3">
      <c r="A1" s="747" t="s">
        <v>739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</row>
    <row r="3" spans="1:13" ht="26.1" customHeight="1" x14ac:dyDescent="0.25">
      <c r="A3" s="728" t="s">
        <v>40</v>
      </c>
      <c r="B3" s="735" t="s">
        <v>22</v>
      </c>
      <c r="C3" s="735" t="s">
        <v>326</v>
      </c>
      <c r="D3" s="735" t="s">
        <v>219</v>
      </c>
      <c r="E3" s="736" t="s">
        <v>556</v>
      </c>
      <c r="F3" s="736" t="s">
        <v>340</v>
      </c>
      <c r="G3" s="735" t="s">
        <v>615</v>
      </c>
      <c r="H3" s="736" t="s">
        <v>332</v>
      </c>
      <c r="I3" s="736" t="s">
        <v>333</v>
      </c>
      <c r="J3" s="140" t="s">
        <v>9</v>
      </c>
      <c r="K3" s="145" t="s">
        <v>333</v>
      </c>
      <c r="L3" s="61" t="s">
        <v>9</v>
      </c>
      <c r="M3" s="17" t="s">
        <v>333</v>
      </c>
    </row>
    <row r="4" spans="1:13" ht="20.100000000000001" customHeight="1" x14ac:dyDescent="0.25">
      <c r="A4" s="729"/>
      <c r="B4" s="735"/>
      <c r="C4" s="735"/>
      <c r="D4" s="735"/>
      <c r="E4" s="814"/>
      <c r="F4" s="814"/>
      <c r="G4" s="735"/>
      <c r="H4" s="808"/>
      <c r="I4" s="808"/>
      <c r="J4" s="810" t="s">
        <v>377</v>
      </c>
      <c r="K4" s="811"/>
      <c r="L4" s="807" t="s">
        <v>378</v>
      </c>
      <c r="M4" s="807"/>
    </row>
    <row r="5" spans="1:13" ht="24.95" customHeight="1" x14ac:dyDescent="0.25">
      <c r="A5" s="729"/>
      <c r="B5" s="735"/>
      <c r="C5" s="735"/>
      <c r="D5" s="735"/>
      <c r="E5" s="808"/>
      <c r="F5" s="808"/>
      <c r="G5" s="735"/>
      <c r="H5" s="812">
        <f>'B. Algandmed'!E3-1</f>
        <v>46022</v>
      </c>
      <c r="I5" s="813"/>
      <c r="J5" s="805" t="str">
        <f>'B. Algandmed'!G6</f>
        <v>2026</v>
      </c>
      <c r="K5" s="806"/>
      <c r="L5" s="816" t="str">
        <f>'B. Algandmed'!H6</f>
        <v>2027</v>
      </c>
      <c r="M5" s="817"/>
    </row>
    <row r="6" spans="1:13" x14ac:dyDescent="0.25">
      <c r="A6" s="815"/>
      <c r="B6" s="735"/>
      <c r="C6" s="64" t="s">
        <v>221</v>
      </c>
      <c r="D6" s="64" t="s">
        <v>44</v>
      </c>
      <c r="E6" s="64" t="s">
        <v>44</v>
      </c>
      <c r="F6" s="64" t="s">
        <v>44</v>
      </c>
      <c r="G6" s="64" t="s">
        <v>2</v>
      </c>
      <c r="H6" s="64" t="s">
        <v>44</v>
      </c>
      <c r="I6" s="64" t="s">
        <v>44</v>
      </c>
      <c r="J6" s="64" t="s">
        <v>44</v>
      </c>
      <c r="K6" s="144" t="s">
        <v>44</v>
      </c>
      <c r="L6" s="64" t="s">
        <v>44</v>
      </c>
      <c r="M6" s="144" t="s">
        <v>44</v>
      </c>
    </row>
    <row r="7" spans="1:13" s="2" customFormat="1" ht="12.75" customHeight="1" x14ac:dyDescent="0.25">
      <c r="A7" s="117" t="s">
        <v>222</v>
      </c>
      <c r="B7" s="779" t="s">
        <v>327</v>
      </c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1"/>
    </row>
    <row r="8" spans="1:13" s="2" customFormat="1" ht="12.75" customHeight="1" x14ac:dyDescent="0.25">
      <c r="A8" s="36" t="s">
        <v>48</v>
      </c>
      <c r="B8" s="141" t="s">
        <v>322</v>
      </c>
      <c r="C8" s="309"/>
      <c r="D8" s="312"/>
      <c r="E8" s="312"/>
      <c r="F8" s="312"/>
      <c r="G8" s="741" t="s">
        <v>17</v>
      </c>
      <c r="H8" s="742"/>
      <c r="I8" s="318">
        <f>D8</f>
        <v>0</v>
      </c>
      <c r="J8" s="756" t="s">
        <v>17</v>
      </c>
      <c r="K8" s="319">
        <f>D8</f>
        <v>0</v>
      </c>
      <c r="L8" s="756" t="s">
        <v>17</v>
      </c>
      <c r="M8" s="338">
        <f>K8</f>
        <v>0</v>
      </c>
    </row>
    <row r="9" spans="1:13" s="2" customFormat="1" ht="12.75" hidden="1" customHeight="1" outlineLevel="1" x14ac:dyDescent="0.25">
      <c r="A9" s="36" t="s">
        <v>52</v>
      </c>
      <c r="B9" s="141" t="s">
        <v>322</v>
      </c>
      <c r="C9" s="309"/>
      <c r="D9" s="312"/>
      <c r="E9" s="312"/>
      <c r="F9" s="312"/>
      <c r="G9" s="743"/>
      <c r="H9" s="744"/>
      <c r="I9" s="318">
        <f>D9</f>
        <v>0</v>
      </c>
      <c r="J9" s="716"/>
      <c r="K9" s="319">
        <f>D9</f>
        <v>0</v>
      </c>
      <c r="L9" s="716"/>
      <c r="M9" s="338">
        <f>K9</f>
        <v>0</v>
      </c>
    </row>
    <row r="10" spans="1:13" s="2" customFormat="1" ht="12.75" hidden="1" customHeight="1" outlineLevel="1" x14ac:dyDescent="0.25">
      <c r="A10" s="36" t="s">
        <v>72</v>
      </c>
      <c r="B10" s="141" t="s">
        <v>322</v>
      </c>
      <c r="C10" s="309"/>
      <c r="D10" s="312"/>
      <c r="E10" s="312"/>
      <c r="F10" s="312"/>
      <c r="G10" s="743"/>
      <c r="H10" s="744"/>
      <c r="I10" s="318">
        <f>D10</f>
        <v>0</v>
      </c>
      <c r="J10" s="716"/>
      <c r="K10" s="319">
        <f>D10</f>
        <v>0</v>
      </c>
      <c r="L10" s="716"/>
      <c r="M10" s="338">
        <f>K10</f>
        <v>0</v>
      </c>
    </row>
    <row r="11" spans="1:13" s="2" customFormat="1" ht="12.75" hidden="1" customHeight="1" outlineLevel="1" x14ac:dyDescent="0.25">
      <c r="A11" s="36" t="s">
        <v>82</v>
      </c>
      <c r="B11" s="141" t="s">
        <v>322</v>
      </c>
      <c r="C11" s="309"/>
      <c r="D11" s="312"/>
      <c r="E11" s="312"/>
      <c r="F11" s="312"/>
      <c r="G11" s="743"/>
      <c r="H11" s="744"/>
      <c r="I11" s="318"/>
      <c r="J11" s="716"/>
      <c r="K11" s="319"/>
      <c r="L11" s="716"/>
      <c r="M11" s="338"/>
    </row>
    <row r="12" spans="1:13" s="143" customFormat="1" ht="12.75" customHeight="1" collapsed="1" x14ac:dyDescent="0.2">
      <c r="A12" s="117" t="s">
        <v>199</v>
      </c>
      <c r="B12" s="37" t="s">
        <v>328</v>
      </c>
      <c r="C12" s="240" t="s">
        <v>17</v>
      </c>
      <c r="D12" s="325">
        <f>SUM(D8:D11)</f>
        <v>0</v>
      </c>
      <c r="E12" s="325">
        <f>SUM(E8:E11)</f>
        <v>0</v>
      </c>
      <c r="F12" s="325">
        <f>SUM(F8:F11)</f>
        <v>0</v>
      </c>
      <c r="G12" s="745"/>
      <c r="H12" s="746"/>
      <c r="I12" s="325">
        <f>SUM(I8:I11)</f>
        <v>0</v>
      </c>
      <c r="J12" s="804"/>
      <c r="K12" s="337">
        <f>SUM(K8:K11)</f>
        <v>0</v>
      </c>
      <c r="L12" s="804"/>
      <c r="M12" s="339">
        <f>SUM(M8:M11)</f>
        <v>0</v>
      </c>
    </row>
    <row r="13" spans="1:13" s="2" customFormat="1" ht="12.75" customHeight="1" x14ac:dyDescent="0.25">
      <c r="A13" s="794"/>
      <c r="B13" s="795"/>
      <c r="C13" s="795"/>
      <c r="D13" s="795"/>
      <c r="E13" s="795"/>
      <c r="F13" s="795"/>
      <c r="G13" s="795"/>
      <c r="H13" s="795"/>
      <c r="I13" s="795"/>
      <c r="J13" s="795"/>
      <c r="K13" s="795"/>
      <c r="L13" s="795"/>
      <c r="M13" s="796"/>
    </row>
    <row r="14" spans="1:13" s="2" customFormat="1" ht="12.75" customHeight="1" x14ac:dyDescent="0.25">
      <c r="A14" s="117" t="s">
        <v>91</v>
      </c>
      <c r="B14" s="779" t="s">
        <v>319</v>
      </c>
      <c r="C14" s="780"/>
      <c r="D14" s="780"/>
      <c r="E14" s="780"/>
      <c r="F14" s="780"/>
      <c r="G14" s="780"/>
      <c r="H14" s="780"/>
      <c r="I14" s="780"/>
      <c r="J14" s="780"/>
      <c r="K14" s="780"/>
      <c r="L14" s="780"/>
      <c r="M14" s="781"/>
    </row>
    <row r="15" spans="1:13" s="2" customFormat="1" ht="12.75" customHeight="1" x14ac:dyDescent="0.25">
      <c r="A15" s="36" t="s">
        <v>92</v>
      </c>
      <c r="B15" s="113"/>
      <c r="C15" s="309"/>
      <c r="D15" s="312"/>
      <c r="E15" s="312"/>
      <c r="F15" s="312"/>
      <c r="G15" s="303"/>
      <c r="H15" s="312"/>
      <c r="I15" s="318">
        <f t="shared" ref="I15:I20" si="0">D15-H15</f>
        <v>0</v>
      </c>
      <c r="J15" s="318">
        <f t="shared" ref="J15:J20" si="1">IF((I15-D15*G15)&gt;0,D15*G15,I15)</f>
        <v>0</v>
      </c>
      <c r="K15" s="319">
        <f t="shared" ref="K15:K20" si="2">I15-J15</f>
        <v>0</v>
      </c>
      <c r="L15" s="320">
        <f t="shared" ref="L15:L20" si="3">IF((K15-D15*G15)&gt;0,D15*G15,K15)</f>
        <v>0</v>
      </c>
      <c r="M15" s="320">
        <f t="shared" ref="M15:M20" si="4">K15-L15</f>
        <v>0</v>
      </c>
    </row>
    <row r="16" spans="1:13" s="2" customFormat="1" ht="12.75" customHeight="1" x14ac:dyDescent="0.25">
      <c r="A16" s="36" t="s">
        <v>94</v>
      </c>
      <c r="B16" s="113"/>
      <c r="C16" s="309"/>
      <c r="D16" s="312"/>
      <c r="E16" s="312"/>
      <c r="F16" s="312"/>
      <c r="G16" s="303"/>
      <c r="H16" s="312"/>
      <c r="I16" s="318">
        <f t="shared" si="0"/>
        <v>0</v>
      </c>
      <c r="J16" s="318">
        <f t="shared" si="1"/>
        <v>0</v>
      </c>
      <c r="K16" s="319">
        <f t="shared" si="2"/>
        <v>0</v>
      </c>
      <c r="L16" s="320">
        <f t="shared" si="3"/>
        <v>0</v>
      </c>
      <c r="M16" s="320">
        <f t="shared" si="4"/>
        <v>0</v>
      </c>
    </row>
    <row r="17" spans="1:16" s="2" customFormat="1" ht="12.75" customHeight="1" x14ac:dyDescent="0.25">
      <c r="A17" s="36" t="s">
        <v>139</v>
      </c>
      <c r="B17" s="113"/>
      <c r="C17" s="309"/>
      <c r="D17" s="312"/>
      <c r="E17" s="312"/>
      <c r="F17" s="312"/>
      <c r="G17" s="303"/>
      <c r="H17" s="312"/>
      <c r="I17" s="318">
        <f t="shared" si="0"/>
        <v>0</v>
      </c>
      <c r="J17" s="318">
        <f t="shared" si="1"/>
        <v>0</v>
      </c>
      <c r="K17" s="319">
        <f t="shared" si="2"/>
        <v>0</v>
      </c>
      <c r="L17" s="320">
        <f t="shared" si="3"/>
        <v>0</v>
      </c>
      <c r="M17" s="320">
        <f t="shared" si="4"/>
        <v>0</v>
      </c>
      <c r="P17" s="508"/>
    </row>
    <row r="18" spans="1:16" s="2" customFormat="1" ht="12.75" hidden="1" customHeight="1" outlineLevel="1" x14ac:dyDescent="0.25">
      <c r="A18" s="36" t="s">
        <v>223</v>
      </c>
      <c r="B18" s="113"/>
      <c r="C18" s="309"/>
      <c r="D18" s="312"/>
      <c r="E18" s="312"/>
      <c r="F18" s="312"/>
      <c r="G18" s="303"/>
      <c r="H18" s="312"/>
      <c r="I18" s="318">
        <f t="shared" si="0"/>
        <v>0</v>
      </c>
      <c r="J18" s="318">
        <f t="shared" si="1"/>
        <v>0</v>
      </c>
      <c r="K18" s="319">
        <f t="shared" si="2"/>
        <v>0</v>
      </c>
      <c r="L18" s="320">
        <f t="shared" si="3"/>
        <v>0</v>
      </c>
      <c r="M18" s="320">
        <f t="shared" si="4"/>
        <v>0</v>
      </c>
    </row>
    <row r="19" spans="1:16" s="2" customFormat="1" ht="12.75" hidden="1" customHeight="1" outlineLevel="1" x14ac:dyDescent="0.25">
      <c r="A19" s="36" t="s">
        <v>224</v>
      </c>
      <c r="B19" s="113"/>
      <c r="C19" s="309"/>
      <c r="D19" s="312"/>
      <c r="E19" s="312"/>
      <c r="F19" s="312"/>
      <c r="G19" s="303"/>
      <c r="H19" s="312"/>
      <c r="I19" s="318">
        <f t="shared" si="0"/>
        <v>0</v>
      </c>
      <c r="J19" s="318">
        <f t="shared" si="1"/>
        <v>0</v>
      </c>
      <c r="K19" s="319">
        <f t="shared" si="2"/>
        <v>0</v>
      </c>
      <c r="L19" s="320">
        <f t="shared" si="3"/>
        <v>0</v>
      </c>
      <c r="M19" s="320">
        <f t="shared" si="4"/>
        <v>0</v>
      </c>
    </row>
    <row r="20" spans="1:16" s="2" customFormat="1" ht="12.75" hidden="1" customHeight="1" outlineLevel="1" x14ac:dyDescent="0.25">
      <c r="A20" s="36" t="s">
        <v>225</v>
      </c>
      <c r="B20" s="113"/>
      <c r="C20" s="309"/>
      <c r="D20" s="312"/>
      <c r="E20" s="312"/>
      <c r="F20" s="312"/>
      <c r="G20" s="303"/>
      <c r="H20" s="312"/>
      <c r="I20" s="318">
        <f t="shared" si="0"/>
        <v>0</v>
      </c>
      <c r="J20" s="318">
        <f t="shared" si="1"/>
        <v>0</v>
      </c>
      <c r="K20" s="319">
        <f t="shared" si="2"/>
        <v>0</v>
      </c>
      <c r="L20" s="320">
        <f t="shared" si="3"/>
        <v>0</v>
      </c>
      <c r="M20" s="320">
        <f t="shared" si="4"/>
        <v>0</v>
      </c>
    </row>
    <row r="21" spans="1:16" s="2" customFormat="1" ht="12.75" hidden="1" customHeight="1" outlineLevel="1" x14ac:dyDescent="0.25">
      <c r="A21" s="36" t="s">
        <v>226</v>
      </c>
      <c r="B21" s="113"/>
      <c r="C21" s="309"/>
      <c r="D21" s="312"/>
      <c r="E21" s="312"/>
      <c r="F21" s="312"/>
      <c r="G21" s="303"/>
      <c r="H21" s="312"/>
      <c r="I21" s="318">
        <f t="shared" ref="I21:I34" si="5">D21-H21</f>
        <v>0</v>
      </c>
      <c r="J21" s="318">
        <f t="shared" ref="J21:J34" si="6">IF((I21-D21*G21)&gt;0,D21*G21,I21)</f>
        <v>0</v>
      </c>
      <c r="K21" s="319">
        <f t="shared" ref="K21:K34" si="7">I21-J21</f>
        <v>0</v>
      </c>
      <c r="L21" s="320">
        <f t="shared" ref="L21:L34" si="8">IF((K21-D21*G21)&gt;0,D21*G21,K21)</f>
        <v>0</v>
      </c>
      <c r="M21" s="320">
        <f t="shared" ref="M21:M34" si="9">K21-L21</f>
        <v>0</v>
      </c>
    </row>
    <row r="22" spans="1:16" s="2" customFormat="1" ht="12.75" hidden="1" customHeight="1" outlineLevel="1" x14ac:dyDescent="0.25">
      <c r="A22" s="36" t="s">
        <v>227</v>
      </c>
      <c r="B22" s="113"/>
      <c r="C22" s="309"/>
      <c r="D22" s="312"/>
      <c r="E22" s="312"/>
      <c r="F22" s="312"/>
      <c r="G22" s="303"/>
      <c r="H22" s="312"/>
      <c r="I22" s="318">
        <f t="shared" si="5"/>
        <v>0</v>
      </c>
      <c r="J22" s="318">
        <f t="shared" si="6"/>
        <v>0</v>
      </c>
      <c r="K22" s="319">
        <f t="shared" si="7"/>
        <v>0</v>
      </c>
      <c r="L22" s="320">
        <f t="shared" si="8"/>
        <v>0</v>
      </c>
      <c r="M22" s="320">
        <f t="shared" si="9"/>
        <v>0</v>
      </c>
    </row>
    <row r="23" spans="1:16" s="2" customFormat="1" ht="12.75" hidden="1" customHeight="1" outlineLevel="1" x14ac:dyDescent="0.25">
      <c r="A23" s="36" t="s">
        <v>228</v>
      </c>
      <c r="B23" s="113"/>
      <c r="C23" s="309"/>
      <c r="D23" s="312"/>
      <c r="E23" s="312"/>
      <c r="F23" s="312"/>
      <c r="G23" s="303"/>
      <c r="H23" s="312"/>
      <c r="I23" s="318">
        <f t="shared" si="5"/>
        <v>0</v>
      </c>
      <c r="J23" s="318">
        <f t="shared" si="6"/>
        <v>0</v>
      </c>
      <c r="K23" s="319">
        <f t="shared" si="7"/>
        <v>0</v>
      </c>
      <c r="L23" s="320">
        <f t="shared" si="8"/>
        <v>0</v>
      </c>
      <c r="M23" s="320">
        <f t="shared" si="9"/>
        <v>0</v>
      </c>
    </row>
    <row r="24" spans="1:16" s="2" customFormat="1" ht="12.75" hidden="1" customHeight="1" outlineLevel="1" x14ac:dyDescent="0.25">
      <c r="A24" s="36" t="s">
        <v>229</v>
      </c>
      <c r="B24" s="113"/>
      <c r="C24" s="309"/>
      <c r="D24" s="312"/>
      <c r="E24" s="312"/>
      <c r="F24" s="312"/>
      <c r="G24" s="303"/>
      <c r="H24" s="312"/>
      <c r="I24" s="318">
        <f t="shared" si="5"/>
        <v>0</v>
      </c>
      <c r="J24" s="318">
        <f t="shared" si="6"/>
        <v>0</v>
      </c>
      <c r="K24" s="319">
        <f t="shared" si="7"/>
        <v>0</v>
      </c>
      <c r="L24" s="320">
        <f t="shared" si="8"/>
        <v>0</v>
      </c>
      <c r="M24" s="320">
        <f t="shared" si="9"/>
        <v>0</v>
      </c>
    </row>
    <row r="25" spans="1:16" s="2" customFormat="1" ht="12.75" hidden="1" customHeight="1" outlineLevel="1" x14ac:dyDescent="0.25">
      <c r="A25" s="36" t="s">
        <v>364</v>
      </c>
      <c r="B25" s="113"/>
      <c r="C25" s="309"/>
      <c r="D25" s="312"/>
      <c r="E25" s="312"/>
      <c r="F25" s="312"/>
      <c r="G25" s="303"/>
      <c r="H25" s="312"/>
      <c r="I25" s="318"/>
      <c r="J25" s="318"/>
      <c r="K25" s="319"/>
      <c r="L25" s="320"/>
      <c r="M25" s="320"/>
    </row>
    <row r="26" spans="1:16" s="2" customFormat="1" ht="12.75" hidden="1" customHeight="1" outlineLevel="1" x14ac:dyDescent="0.25">
      <c r="A26" s="36" t="s">
        <v>365</v>
      </c>
      <c r="B26" s="113"/>
      <c r="C26" s="309"/>
      <c r="D26" s="312"/>
      <c r="E26" s="312"/>
      <c r="F26" s="312"/>
      <c r="G26" s="303"/>
      <c r="H26" s="312"/>
      <c r="I26" s="318"/>
      <c r="J26" s="318"/>
      <c r="K26" s="319"/>
      <c r="L26" s="320"/>
      <c r="M26" s="320"/>
    </row>
    <row r="27" spans="1:16" s="2" customFormat="1" ht="12.75" hidden="1" customHeight="1" outlineLevel="1" x14ac:dyDescent="0.25">
      <c r="A27" s="36" t="s">
        <v>366</v>
      </c>
      <c r="B27" s="113"/>
      <c r="C27" s="309"/>
      <c r="D27" s="312"/>
      <c r="E27" s="312"/>
      <c r="F27" s="312"/>
      <c r="G27" s="303"/>
      <c r="H27" s="312"/>
      <c r="I27" s="318"/>
      <c r="J27" s="318"/>
      <c r="K27" s="319"/>
      <c r="L27" s="320"/>
      <c r="M27" s="320"/>
    </row>
    <row r="28" spans="1:16" s="2" customFormat="1" ht="12.75" hidden="1" customHeight="1" outlineLevel="1" x14ac:dyDescent="0.25">
      <c r="A28" s="36" t="s">
        <v>367</v>
      </c>
      <c r="B28" s="113"/>
      <c r="C28" s="309"/>
      <c r="D28" s="312"/>
      <c r="E28" s="312"/>
      <c r="F28" s="312"/>
      <c r="G28" s="303"/>
      <c r="H28" s="312"/>
      <c r="I28" s="318"/>
      <c r="J28" s="318"/>
      <c r="K28" s="319"/>
      <c r="L28" s="320"/>
      <c r="M28" s="320"/>
    </row>
    <row r="29" spans="1:16" s="2" customFormat="1" ht="12.75" hidden="1" customHeight="1" outlineLevel="1" x14ac:dyDescent="0.25">
      <c r="A29" s="36" t="s">
        <v>368</v>
      </c>
      <c r="B29" s="113"/>
      <c r="C29" s="309"/>
      <c r="D29" s="312"/>
      <c r="E29" s="312"/>
      <c r="F29" s="312"/>
      <c r="G29" s="303"/>
      <c r="H29" s="312"/>
      <c r="I29" s="318"/>
      <c r="J29" s="318"/>
      <c r="K29" s="319"/>
      <c r="L29" s="320"/>
      <c r="M29" s="320"/>
    </row>
    <row r="30" spans="1:16" s="2" customFormat="1" ht="12.75" hidden="1" customHeight="1" outlineLevel="1" x14ac:dyDescent="0.25">
      <c r="A30" s="36" t="s">
        <v>409</v>
      </c>
      <c r="B30" s="113"/>
      <c r="C30" s="309"/>
      <c r="D30" s="312"/>
      <c r="E30" s="312"/>
      <c r="F30" s="312"/>
      <c r="G30" s="303"/>
      <c r="H30" s="312"/>
      <c r="I30" s="318">
        <f t="shared" si="5"/>
        <v>0</v>
      </c>
      <c r="J30" s="318">
        <f t="shared" si="6"/>
        <v>0</v>
      </c>
      <c r="K30" s="319">
        <f t="shared" si="7"/>
        <v>0</v>
      </c>
      <c r="L30" s="320">
        <f t="shared" si="8"/>
        <v>0</v>
      </c>
      <c r="M30" s="320">
        <f t="shared" si="9"/>
        <v>0</v>
      </c>
    </row>
    <row r="31" spans="1:16" s="2" customFormat="1" ht="12.75" hidden="1" customHeight="1" outlineLevel="1" x14ac:dyDescent="0.25">
      <c r="A31" s="36" t="s">
        <v>410</v>
      </c>
      <c r="B31" s="113"/>
      <c r="C31" s="309"/>
      <c r="D31" s="312"/>
      <c r="E31" s="312"/>
      <c r="F31" s="312"/>
      <c r="G31" s="303"/>
      <c r="H31" s="312"/>
      <c r="I31" s="318">
        <f t="shared" si="5"/>
        <v>0</v>
      </c>
      <c r="J31" s="318">
        <f t="shared" si="6"/>
        <v>0</v>
      </c>
      <c r="K31" s="319">
        <f t="shared" si="7"/>
        <v>0</v>
      </c>
      <c r="L31" s="320">
        <f t="shared" si="8"/>
        <v>0</v>
      </c>
      <c r="M31" s="320">
        <f t="shared" si="9"/>
        <v>0</v>
      </c>
    </row>
    <row r="32" spans="1:16" s="2" customFormat="1" ht="12.75" hidden="1" customHeight="1" outlineLevel="1" x14ac:dyDescent="0.25">
      <c r="A32" s="36" t="s">
        <v>411</v>
      </c>
      <c r="B32" s="113"/>
      <c r="C32" s="309"/>
      <c r="D32" s="312"/>
      <c r="E32" s="312"/>
      <c r="F32" s="312"/>
      <c r="G32" s="303"/>
      <c r="H32" s="312"/>
      <c r="I32" s="318">
        <f t="shared" si="5"/>
        <v>0</v>
      </c>
      <c r="J32" s="318">
        <f t="shared" si="6"/>
        <v>0</v>
      </c>
      <c r="K32" s="319">
        <f t="shared" si="7"/>
        <v>0</v>
      </c>
      <c r="L32" s="320">
        <f t="shared" si="8"/>
        <v>0</v>
      </c>
      <c r="M32" s="320">
        <f t="shared" si="9"/>
        <v>0</v>
      </c>
    </row>
    <row r="33" spans="1:14" s="2" customFormat="1" ht="12.75" hidden="1" customHeight="1" outlineLevel="1" x14ac:dyDescent="0.25">
      <c r="A33" s="36" t="s">
        <v>412</v>
      </c>
      <c r="B33" s="113"/>
      <c r="C33" s="309"/>
      <c r="D33" s="312"/>
      <c r="E33" s="312"/>
      <c r="F33" s="312"/>
      <c r="G33" s="303"/>
      <c r="H33" s="312"/>
      <c r="I33" s="318">
        <f t="shared" si="5"/>
        <v>0</v>
      </c>
      <c r="J33" s="318">
        <f t="shared" si="6"/>
        <v>0</v>
      </c>
      <c r="K33" s="319">
        <f t="shared" si="7"/>
        <v>0</v>
      </c>
      <c r="L33" s="320">
        <f t="shared" si="8"/>
        <v>0</v>
      </c>
      <c r="M33" s="320">
        <f t="shared" si="9"/>
        <v>0</v>
      </c>
    </row>
    <row r="34" spans="1:14" s="2" customFormat="1" ht="12.75" hidden="1" customHeight="1" outlineLevel="1" x14ac:dyDescent="0.25">
      <c r="A34" s="36" t="s">
        <v>738</v>
      </c>
      <c r="B34" s="113"/>
      <c r="C34" s="309"/>
      <c r="D34" s="312"/>
      <c r="E34" s="312"/>
      <c r="F34" s="312"/>
      <c r="G34" s="303"/>
      <c r="H34" s="312"/>
      <c r="I34" s="318">
        <f t="shared" si="5"/>
        <v>0</v>
      </c>
      <c r="J34" s="318">
        <f t="shared" si="6"/>
        <v>0</v>
      </c>
      <c r="K34" s="319">
        <f t="shared" si="7"/>
        <v>0</v>
      </c>
      <c r="L34" s="320">
        <f t="shared" si="8"/>
        <v>0</v>
      </c>
      <c r="M34" s="320">
        <f t="shared" si="9"/>
        <v>0</v>
      </c>
    </row>
    <row r="35" spans="1:14" ht="26.1" customHeight="1" collapsed="1" x14ac:dyDescent="0.25">
      <c r="A35" s="117" t="s">
        <v>201</v>
      </c>
      <c r="B35" s="37" t="s">
        <v>740</v>
      </c>
      <c r="C35" s="767" t="s">
        <v>17</v>
      </c>
      <c r="D35" s="324">
        <f>SUM(D12:D34)</f>
        <v>0</v>
      </c>
      <c r="E35" s="324">
        <f>SUM(E12:E34)</f>
        <v>0</v>
      </c>
      <c r="F35" s="324">
        <f>SUM(F12:F34)</f>
        <v>0</v>
      </c>
      <c r="G35" s="239" t="s">
        <v>17</v>
      </c>
      <c r="H35" s="324">
        <f>SUM(H15:H34)</f>
        <v>0</v>
      </c>
      <c r="I35" s="325">
        <f>SUM(I12:I34)</f>
        <v>0</v>
      </c>
      <c r="J35" s="325">
        <f>SUM(J15:J34)</f>
        <v>0</v>
      </c>
      <c r="K35" s="325">
        <f>SUM(K12:K34)</f>
        <v>0</v>
      </c>
      <c r="L35" s="325">
        <f>SUM(L15:L34)</f>
        <v>0</v>
      </c>
      <c r="M35" s="325">
        <f>SUM(M12:M34)</f>
        <v>0</v>
      </c>
    </row>
    <row r="36" spans="1:14" s="146" customFormat="1" ht="24" customHeight="1" x14ac:dyDescent="0.25">
      <c r="A36" s="142" t="s">
        <v>241</v>
      </c>
      <c r="B36" s="65" t="s">
        <v>393</v>
      </c>
      <c r="C36" s="768"/>
      <c r="D36" s="717" t="s">
        <v>17</v>
      </c>
      <c r="E36" s="717"/>
      <c r="F36" s="717"/>
      <c r="G36" s="717"/>
      <c r="H36" s="320">
        <f>E35-I36</f>
        <v>0</v>
      </c>
      <c r="I36" s="312"/>
      <c r="J36" s="312"/>
      <c r="K36" s="326">
        <f>I36-J36</f>
        <v>0</v>
      </c>
      <c r="L36" s="335"/>
      <c r="M36" s="327">
        <f>K36-L36</f>
        <v>0</v>
      </c>
    </row>
    <row r="37" spans="1:14" s="111" customFormat="1" ht="12.75" customHeight="1" x14ac:dyDescent="0.25">
      <c r="A37" s="167" t="s">
        <v>334</v>
      </c>
      <c r="B37" s="168" t="s">
        <v>741</v>
      </c>
      <c r="C37" s="769"/>
      <c r="D37" s="339">
        <f>D35-E35</f>
        <v>0</v>
      </c>
      <c r="E37" s="764" t="s">
        <v>17</v>
      </c>
      <c r="F37" s="765"/>
      <c r="G37" s="766"/>
      <c r="H37" s="328">
        <f t="shared" ref="H37:M37" si="10">H35-H36</f>
        <v>0</v>
      </c>
      <c r="I37" s="324">
        <f t="shared" si="10"/>
        <v>0</v>
      </c>
      <c r="J37" s="324">
        <f t="shared" si="10"/>
        <v>0</v>
      </c>
      <c r="K37" s="324">
        <f t="shared" si="10"/>
        <v>0</v>
      </c>
      <c r="L37" s="324">
        <f t="shared" si="10"/>
        <v>0</v>
      </c>
      <c r="M37" s="324">
        <f t="shared" si="10"/>
        <v>0</v>
      </c>
      <c r="N37" s="147"/>
    </row>
    <row r="38" spans="1:14" s="2" customFormat="1" ht="12.75" customHeight="1" x14ac:dyDescent="0.25">
      <c r="A38" s="794"/>
      <c r="B38" s="795"/>
      <c r="C38" s="795"/>
      <c r="D38" s="795"/>
      <c r="E38" s="795"/>
      <c r="F38" s="795"/>
      <c r="G38" s="795"/>
      <c r="H38" s="795"/>
      <c r="I38" s="795"/>
      <c r="J38" s="795"/>
      <c r="K38" s="795"/>
      <c r="L38" s="795"/>
      <c r="M38" s="796"/>
    </row>
    <row r="39" spans="1:14" s="2" customFormat="1" ht="12.75" customHeight="1" x14ac:dyDescent="0.25">
      <c r="A39" s="117" t="s">
        <v>97</v>
      </c>
      <c r="B39" s="779" t="s">
        <v>339</v>
      </c>
      <c r="C39" s="780"/>
      <c r="D39" s="780"/>
      <c r="E39" s="780"/>
      <c r="F39" s="780"/>
      <c r="G39" s="780"/>
      <c r="H39" s="780"/>
      <c r="I39" s="780"/>
      <c r="J39" s="780"/>
      <c r="K39" s="780"/>
      <c r="L39" s="780"/>
      <c r="M39" s="781"/>
    </row>
    <row r="40" spans="1:14" s="2" customFormat="1" ht="12.75" customHeight="1" x14ac:dyDescent="0.25">
      <c r="A40" s="36" t="s">
        <v>98</v>
      </c>
      <c r="B40" s="114"/>
      <c r="C40" s="309"/>
      <c r="D40" s="312"/>
      <c r="E40" s="312"/>
      <c r="F40" s="312"/>
      <c r="G40" s="303"/>
      <c r="H40" s="312"/>
      <c r="I40" s="318">
        <f t="shared" ref="I40:I59" si="11">D40-H40</f>
        <v>0</v>
      </c>
      <c r="J40" s="318">
        <f t="shared" ref="J40:J59" si="12">IF((I40-D40*G40)&gt;0,D40*G40,I40)</f>
        <v>0</v>
      </c>
      <c r="K40" s="319">
        <f>I40-J40</f>
        <v>0</v>
      </c>
      <c r="L40" s="320">
        <f>IF((K40-D40*G40)&gt;0,D40*G40,K40)</f>
        <v>0</v>
      </c>
      <c r="M40" s="320">
        <f>K40-L40</f>
        <v>0</v>
      </c>
    </row>
    <row r="41" spans="1:14" s="2" customFormat="1" ht="12.75" customHeight="1" x14ac:dyDescent="0.25">
      <c r="A41" s="36" t="s">
        <v>104</v>
      </c>
      <c r="B41" s="114"/>
      <c r="C41" s="309"/>
      <c r="D41" s="312"/>
      <c r="E41" s="312"/>
      <c r="F41" s="312"/>
      <c r="G41" s="303"/>
      <c r="H41" s="312"/>
      <c r="I41" s="318">
        <f t="shared" si="11"/>
        <v>0</v>
      </c>
      <c r="J41" s="318">
        <f t="shared" si="12"/>
        <v>0</v>
      </c>
      <c r="K41" s="319">
        <f t="shared" ref="K41:K59" si="13">I41-J41</f>
        <v>0</v>
      </c>
      <c r="L41" s="320">
        <f t="shared" ref="L41:L59" si="14">IF((K41-D41*G41)&gt;0,D41*G41,K41)</f>
        <v>0</v>
      </c>
      <c r="M41" s="320">
        <f t="shared" ref="M41:M59" si="15">K41-L41</f>
        <v>0</v>
      </c>
    </row>
    <row r="42" spans="1:14" s="2" customFormat="1" ht="12.75" customHeight="1" x14ac:dyDescent="0.25">
      <c r="A42" s="36" t="s">
        <v>108</v>
      </c>
      <c r="B42" s="114"/>
      <c r="C42" s="309"/>
      <c r="D42" s="312"/>
      <c r="E42" s="312"/>
      <c r="F42" s="312"/>
      <c r="G42" s="303"/>
      <c r="H42" s="312"/>
      <c r="I42" s="318">
        <f t="shared" si="11"/>
        <v>0</v>
      </c>
      <c r="J42" s="318">
        <f t="shared" si="12"/>
        <v>0</v>
      </c>
      <c r="K42" s="319">
        <f t="shared" si="13"/>
        <v>0</v>
      </c>
      <c r="L42" s="320">
        <f t="shared" si="14"/>
        <v>0</v>
      </c>
      <c r="M42" s="320">
        <f t="shared" si="15"/>
        <v>0</v>
      </c>
    </row>
    <row r="43" spans="1:14" s="2" customFormat="1" ht="12.75" hidden="1" customHeight="1" outlineLevel="1" x14ac:dyDescent="0.25">
      <c r="A43" s="36" t="s">
        <v>230</v>
      </c>
      <c r="B43" s="114"/>
      <c r="C43" s="309"/>
      <c r="D43" s="312"/>
      <c r="E43" s="312"/>
      <c r="F43" s="312"/>
      <c r="G43" s="303"/>
      <c r="H43" s="312"/>
      <c r="I43" s="318">
        <f t="shared" si="11"/>
        <v>0</v>
      </c>
      <c r="J43" s="318">
        <f t="shared" si="12"/>
        <v>0</v>
      </c>
      <c r="K43" s="319">
        <f t="shared" si="13"/>
        <v>0</v>
      </c>
      <c r="L43" s="320">
        <f t="shared" si="14"/>
        <v>0</v>
      </c>
      <c r="M43" s="320">
        <f t="shared" si="15"/>
        <v>0</v>
      </c>
    </row>
    <row r="44" spans="1:14" s="2" customFormat="1" ht="12.75" hidden="1" customHeight="1" outlineLevel="1" x14ac:dyDescent="0.25">
      <c r="A44" s="36" t="s">
        <v>231</v>
      </c>
      <c r="B44" s="114"/>
      <c r="C44" s="309"/>
      <c r="D44" s="312"/>
      <c r="E44" s="312"/>
      <c r="F44" s="312"/>
      <c r="G44" s="303"/>
      <c r="H44" s="312"/>
      <c r="I44" s="318">
        <f t="shared" si="11"/>
        <v>0</v>
      </c>
      <c r="J44" s="318">
        <f t="shared" si="12"/>
        <v>0</v>
      </c>
      <c r="K44" s="319">
        <f t="shared" si="13"/>
        <v>0</v>
      </c>
      <c r="L44" s="320">
        <f t="shared" si="14"/>
        <v>0</v>
      </c>
      <c r="M44" s="320">
        <f t="shared" si="15"/>
        <v>0</v>
      </c>
    </row>
    <row r="45" spans="1:14" s="2" customFormat="1" ht="12.75" hidden="1" customHeight="1" outlineLevel="1" x14ac:dyDescent="0.25">
      <c r="A45" s="36" t="s">
        <v>232</v>
      </c>
      <c r="B45" s="114"/>
      <c r="C45" s="309"/>
      <c r="D45" s="312"/>
      <c r="E45" s="312"/>
      <c r="F45" s="312"/>
      <c r="G45" s="303"/>
      <c r="H45" s="312"/>
      <c r="I45" s="318">
        <f t="shared" si="11"/>
        <v>0</v>
      </c>
      <c r="J45" s="318">
        <f t="shared" si="12"/>
        <v>0</v>
      </c>
      <c r="K45" s="319">
        <f t="shared" si="13"/>
        <v>0</v>
      </c>
      <c r="L45" s="320">
        <f t="shared" si="14"/>
        <v>0</v>
      </c>
      <c r="M45" s="320">
        <f t="shared" si="15"/>
        <v>0</v>
      </c>
    </row>
    <row r="46" spans="1:14" s="2" customFormat="1" ht="12.75" hidden="1" customHeight="1" outlineLevel="1" x14ac:dyDescent="0.25">
      <c r="A46" s="36" t="s">
        <v>233</v>
      </c>
      <c r="B46" s="114"/>
      <c r="C46" s="309"/>
      <c r="D46" s="312"/>
      <c r="E46" s="312"/>
      <c r="F46" s="312"/>
      <c r="G46" s="303"/>
      <c r="H46" s="312"/>
      <c r="I46" s="318">
        <f t="shared" si="11"/>
        <v>0</v>
      </c>
      <c r="J46" s="318">
        <f t="shared" si="12"/>
        <v>0</v>
      </c>
      <c r="K46" s="319">
        <f t="shared" si="13"/>
        <v>0</v>
      </c>
      <c r="L46" s="320">
        <f t="shared" si="14"/>
        <v>0</v>
      </c>
      <c r="M46" s="320">
        <f t="shared" si="15"/>
        <v>0</v>
      </c>
    </row>
    <row r="47" spans="1:14" s="2" customFormat="1" ht="12.75" hidden="1" customHeight="1" outlineLevel="1" x14ac:dyDescent="0.25">
      <c r="A47" s="36" t="s">
        <v>234</v>
      </c>
      <c r="B47" s="114"/>
      <c r="C47" s="309"/>
      <c r="D47" s="312"/>
      <c r="E47" s="312"/>
      <c r="F47" s="312"/>
      <c r="G47" s="303"/>
      <c r="H47" s="312"/>
      <c r="I47" s="318">
        <f t="shared" si="11"/>
        <v>0</v>
      </c>
      <c r="J47" s="318">
        <f t="shared" si="12"/>
        <v>0</v>
      </c>
      <c r="K47" s="319">
        <f t="shared" si="13"/>
        <v>0</v>
      </c>
      <c r="L47" s="320">
        <f t="shared" si="14"/>
        <v>0</v>
      </c>
      <c r="M47" s="320">
        <f t="shared" si="15"/>
        <v>0</v>
      </c>
    </row>
    <row r="48" spans="1:14" s="2" customFormat="1" ht="12.75" hidden="1" customHeight="1" outlineLevel="1" x14ac:dyDescent="0.25">
      <c r="A48" s="36" t="s">
        <v>235</v>
      </c>
      <c r="B48" s="114"/>
      <c r="C48" s="309"/>
      <c r="D48" s="312"/>
      <c r="E48" s="312"/>
      <c r="F48" s="312"/>
      <c r="G48" s="303"/>
      <c r="H48" s="312"/>
      <c r="I48" s="318">
        <f t="shared" si="11"/>
        <v>0</v>
      </c>
      <c r="J48" s="318">
        <f t="shared" si="12"/>
        <v>0</v>
      </c>
      <c r="K48" s="319">
        <f t="shared" si="13"/>
        <v>0</v>
      </c>
      <c r="L48" s="320">
        <f t="shared" si="14"/>
        <v>0</v>
      </c>
      <c r="M48" s="320">
        <f t="shared" si="15"/>
        <v>0</v>
      </c>
    </row>
    <row r="49" spans="1:13" s="2" customFormat="1" ht="12.75" hidden="1" customHeight="1" outlineLevel="1" x14ac:dyDescent="0.25">
      <c r="A49" s="36" t="s">
        <v>236</v>
      </c>
      <c r="B49" s="114"/>
      <c r="C49" s="309"/>
      <c r="D49" s="312"/>
      <c r="E49" s="312"/>
      <c r="F49" s="312"/>
      <c r="G49" s="303"/>
      <c r="H49" s="312"/>
      <c r="I49" s="318">
        <f t="shared" si="11"/>
        <v>0</v>
      </c>
      <c r="J49" s="318">
        <f t="shared" si="12"/>
        <v>0</v>
      </c>
      <c r="K49" s="319">
        <f t="shared" si="13"/>
        <v>0</v>
      </c>
      <c r="L49" s="320">
        <f t="shared" si="14"/>
        <v>0</v>
      </c>
      <c r="M49" s="320">
        <f t="shared" si="15"/>
        <v>0</v>
      </c>
    </row>
    <row r="50" spans="1:13" s="2" customFormat="1" ht="12.75" hidden="1" customHeight="1" outlineLevel="1" x14ac:dyDescent="0.25">
      <c r="A50" s="36" t="s">
        <v>275</v>
      </c>
      <c r="B50" s="114"/>
      <c r="C50" s="309"/>
      <c r="D50" s="312"/>
      <c r="E50" s="312"/>
      <c r="F50" s="312"/>
      <c r="G50" s="303"/>
      <c r="H50" s="312"/>
      <c r="I50" s="318">
        <f t="shared" si="11"/>
        <v>0</v>
      </c>
      <c r="J50" s="318">
        <f t="shared" si="12"/>
        <v>0</v>
      </c>
      <c r="K50" s="319">
        <f t="shared" si="13"/>
        <v>0</v>
      </c>
      <c r="L50" s="320">
        <f t="shared" si="14"/>
        <v>0</v>
      </c>
      <c r="M50" s="320">
        <f t="shared" si="15"/>
        <v>0</v>
      </c>
    </row>
    <row r="51" spans="1:13" s="2" customFormat="1" ht="12.75" hidden="1" customHeight="1" outlineLevel="1" x14ac:dyDescent="0.25">
      <c r="A51" s="36" t="s">
        <v>276</v>
      </c>
      <c r="B51" s="114"/>
      <c r="C51" s="309"/>
      <c r="D51" s="312"/>
      <c r="E51" s="312"/>
      <c r="F51" s="312"/>
      <c r="G51" s="303"/>
      <c r="H51" s="312"/>
      <c r="I51" s="318">
        <f t="shared" si="11"/>
        <v>0</v>
      </c>
      <c r="J51" s="318">
        <f t="shared" si="12"/>
        <v>0</v>
      </c>
      <c r="K51" s="319">
        <f t="shared" si="13"/>
        <v>0</v>
      </c>
      <c r="L51" s="320">
        <f t="shared" si="14"/>
        <v>0</v>
      </c>
      <c r="M51" s="320">
        <f t="shared" si="15"/>
        <v>0</v>
      </c>
    </row>
    <row r="52" spans="1:13" s="2" customFormat="1" ht="12.75" hidden="1" customHeight="1" outlineLevel="1" x14ac:dyDescent="0.25">
      <c r="A52" s="36" t="s">
        <v>277</v>
      </c>
      <c r="B52" s="114"/>
      <c r="C52" s="309"/>
      <c r="D52" s="312"/>
      <c r="E52" s="312"/>
      <c r="F52" s="312"/>
      <c r="G52" s="303"/>
      <c r="H52" s="312"/>
      <c r="I52" s="318">
        <f t="shared" si="11"/>
        <v>0</v>
      </c>
      <c r="J52" s="318">
        <f t="shared" si="12"/>
        <v>0</v>
      </c>
      <c r="K52" s="319">
        <f t="shared" si="13"/>
        <v>0</v>
      </c>
      <c r="L52" s="320">
        <f t="shared" si="14"/>
        <v>0</v>
      </c>
      <c r="M52" s="320">
        <f t="shared" si="15"/>
        <v>0</v>
      </c>
    </row>
    <row r="53" spans="1:13" s="2" customFormat="1" ht="12.75" hidden="1" customHeight="1" outlineLevel="1" x14ac:dyDescent="0.25">
      <c r="A53" s="36" t="s">
        <v>278</v>
      </c>
      <c r="B53" s="114"/>
      <c r="C53" s="309"/>
      <c r="D53" s="312"/>
      <c r="E53" s="312"/>
      <c r="F53" s="312"/>
      <c r="G53" s="303"/>
      <c r="H53" s="312"/>
      <c r="I53" s="318">
        <f t="shared" si="11"/>
        <v>0</v>
      </c>
      <c r="J53" s="318">
        <f t="shared" si="12"/>
        <v>0</v>
      </c>
      <c r="K53" s="319">
        <f t="shared" si="13"/>
        <v>0</v>
      </c>
      <c r="L53" s="320">
        <f t="shared" si="14"/>
        <v>0</v>
      </c>
      <c r="M53" s="320">
        <f t="shared" si="15"/>
        <v>0</v>
      </c>
    </row>
    <row r="54" spans="1:13" s="2" customFormat="1" ht="12.75" hidden="1" customHeight="1" outlineLevel="1" x14ac:dyDescent="0.25">
      <c r="A54" s="36" t="s">
        <v>279</v>
      </c>
      <c r="B54" s="114"/>
      <c r="C54" s="309"/>
      <c r="D54" s="312"/>
      <c r="E54" s="312"/>
      <c r="F54" s="312"/>
      <c r="G54" s="303"/>
      <c r="H54" s="312"/>
      <c r="I54" s="318">
        <f t="shared" si="11"/>
        <v>0</v>
      </c>
      <c r="J54" s="318">
        <f t="shared" si="12"/>
        <v>0</v>
      </c>
      <c r="K54" s="319">
        <f t="shared" si="13"/>
        <v>0</v>
      </c>
      <c r="L54" s="320">
        <f t="shared" si="14"/>
        <v>0</v>
      </c>
      <c r="M54" s="320">
        <f t="shared" si="15"/>
        <v>0</v>
      </c>
    </row>
    <row r="55" spans="1:13" s="2" customFormat="1" ht="12.75" hidden="1" customHeight="1" outlineLevel="1" x14ac:dyDescent="0.25">
      <c r="A55" s="36" t="s">
        <v>280</v>
      </c>
      <c r="B55" s="114"/>
      <c r="C55" s="309"/>
      <c r="D55" s="312"/>
      <c r="E55" s="312"/>
      <c r="F55" s="312"/>
      <c r="G55" s="303"/>
      <c r="H55" s="312"/>
      <c r="I55" s="318">
        <f t="shared" si="11"/>
        <v>0</v>
      </c>
      <c r="J55" s="318">
        <f t="shared" si="12"/>
        <v>0</v>
      </c>
      <c r="K55" s="319">
        <f t="shared" si="13"/>
        <v>0</v>
      </c>
      <c r="L55" s="320">
        <f t="shared" si="14"/>
        <v>0</v>
      </c>
      <c r="M55" s="320">
        <f t="shared" si="15"/>
        <v>0</v>
      </c>
    </row>
    <row r="56" spans="1:13" s="2" customFormat="1" ht="12.75" hidden="1" customHeight="1" outlineLevel="1" x14ac:dyDescent="0.25">
      <c r="A56" s="36" t="s">
        <v>281</v>
      </c>
      <c r="B56" s="114"/>
      <c r="C56" s="309"/>
      <c r="D56" s="312"/>
      <c r="E56" s="312"/>
      <c r="F56" s="312"/>
      <c r="G56" s="303"/>
      <c r="H56" s="312"/>
      <c r="I56" s="318">
        <f t="shared" si="11"/>
        <v>0</v>
      </c>
      <c r="J56" s="318">
        <f t="shared" si="12"/>
        <v>0</v>
      </c>
      <c r="K56" s="319">
        <f t="shared" si="13"/>
        <v>0</v>
      </c>
      <c r="L56" s="320">
        <f t="shared" si="14"/>
        <v>0</v>
      </c>
      <c r="M56" s="320">
        <f t="shared" si="15"/>
        <v>0</v>
      </c>
    </row>
    <row r="57" spans="1:13" s="2" customFormat="1" ht="12.75" hidden="1" customHeight="1" outlineLevel="1" x14ac:dyDescent="0.25">
      <c r="A57" s="36" t="s">
        <v>282</v>
      </c>
      <c r="B57" s="114"/>
      <c r="C57" s="309"/>
      <c r="D57" s="312"/>
      <c r="E57" s="312"/>
      <c r="F57" s="312"/>
      <c r="G57" s="303"/>
      <c r="H57" s="312"/>
      <c r="I57" s="318">
        <f t="shared" si="11"/>
        <v>0</v>
      </c>
      <c r="J57" s="318">
        <f t="shared" si="12"/>
        <v>0</v>
      </c>
      <c r="K57" s="319">
        <f t="shared" si="13"/>
        <v>0</v>
      </c>
      <c r="L57" s="320">
        <f t="shared" si="14"/>
        <v>0</v>
      </c>
      <c r="M57" s="320">
        <f t="shared" si="15"/>
        <v>0</v>
      </c>
    </row>
    <row r="58" spans="1:13" s="2" customFormat="1" ht="12.75" hidden="1" customHeight="1" outlineLevel="1" x14ac:dyDescent="0.25">
      <c r="A58" s="36" t="s">
        <v>283</v>
      </c>
      <c r="B58" s="114"/>
      <c r="C58" s="309"/>
      <c r="D58" s="312"/>
      <c r="E58" s="312"/>
      <c r="F58" s="312"/>
      <c r="G58" s="303"/>
      <c r="H58" s="312"/>
      <c r="I58" s="318">
        <f t="shared" si="11"/>
        <v>0</v>
      </c>
      <c r="J58" s="318">
        <f t="shared" si="12"/>
        <v>0</v>
      </c>
      <c r="K58" s="319">
        <f t="shared" si="13"/>
        <v>0</v>
      </c>
      <c r="L58" s="320">
        <f t="shared" si="14"/>
        <v>0</v>
      </c>
      <c r="M58" s="320">
        <f t="shared" si="15"/>
        <v>0</v>
      </c>
    </row>
    <row r="59" spans="1:13" s="2" customFormat="1" ht="12.75" hidden="1" customHeight="1" outlineLevel="1" x14ac:dyDescent="0.25">
      <c r="A59" s="36" t="s">
        <v>284</v>
      </c>
      <c r="B59" s="114"/>
      <c r="C59" s="309"/>
      <c r="D59" s="312"/>
      <c r="E59" s="312"/>
      <c r="F59" s="312"/>
      <c r="G59" s="303"/>
      <c r="H59" s="312"/>
      <c r="I59" s="318">
        <f t="shared" si="11"/>
        <v>0</v>
      </c>
      <c r="J59" s="318">
        <f t="shared" si="12"/>
        <v>0</v>
      </c>
      <c r="K59" s="319">
        <f t="shared" si="13"/>
        <v>0</v>
      </c>
      <c r="L59" s="320">
        <f t="shared" si="14"/>
        <v>0</v>
      </c>
      <c r="M59" s="320">
        <f t="shared" si="15"/>
        <v>0</v>
      </c>
    </row>
    <row r="60" spans="1:13" s="2" customFormat="1" ht="12.75" customHeight="1" collapsed="1" x14ac:dyDescent="0.25">
      <c r="A60" s="117" t="s">
        <v>115</v>
      </c>
      <c r="B60" s="779" t="s">
        <v>220</v>
      </c>
      <c r="C60" s="780"/>
      <c r="D60" s="780"/>
      <c r="E60" s="780"/>
      <c r="F60" s="780"/>
      <c r="G60" s="780"/>
      <c r="H60" s="780"/>
      <c r="I60" s="780"/>
      <c r="J60" s="780"/>
      <c r="K60" s="780"/>
      <c r="L60" s="780"/>
      <c r="M60" s="781"/>
    </row>
    <row r="61" spans="1:13" s="2" customFormat="1" ht="12.75" customHeight="1" x14ac:dyDescent="0.25">
      <c r="A61" s="36" t="s">
        <v>117</v>
      </c>
      <c r="B61" s="114"/>
      <c r="C61" s="309"/>
      <c r="D61" s="312"/>
      <c r="E61" s="312"/>
      <c r="F61" s="312"/>
      <c r="G61" s="303"/>
      <c r="H61" s="312"/>
      <c r="I61" s="318">
        <f>D61-H61</f>
        <v>0</v>
      </c>
      <c r="J61" s="318">
        <f>IF((I61-D61*G61)&gt;0,D61*G61,I61)</f>
        <v>0</v>
      </c>
      <c r="K61" s="319">
        <f>I61-J61</f>
        <v>0</v>
      </c>
      <c r="L61" s="320">
        <f>IF((K61-D61*G61)&gt;0,D61*G61,K61)</f>
        <v>0</v>
      </c>
      <c r="M61" s="320">
        <f>K61-L61</f>
        <v>0</v>
      </c>
    </row>
    <row r="62" spans="1:13" ht="12.75" customHeight="1" x14ac:dyDescent="0.25">
      <c r="A62" s="36" t="s">
        <v>120</v>
      </c>
      <c r="B62" s="114"/>
      <c r="C62" s="309"/>
      <c r="D62" s="312"/>
      <c r="E62" s="312"/>
      <c r="F62" s="312"/>
      <c r="G62" s="303"/>
      <c r="H62" s="312"/>
      <c r="I62" s="318">
        <f t="shared" ref="I62:I80" si="16">D62-H62</f>
        <v>0</v>
      </c>
      <c r="J62" s="318">
        <f t="shared" ref="J62:J80" si="17">IF((I62-D62*G62)&gt;0,D62*G62,I62)</f>
        <v>0</v>
      </c>
      <c r="K62" s="319">
        <f t="shared" ref="K62:K80" si="18">I62-J62</f>
        <v>0</v>
      </c>
      <c r="L62" s="320">
        <f t="shared" ref="L62:L80" si="19">IF((K62-D62*G62)&gt;0,D62*G62,K62)</f>
        <v>0</v>
      </c>
      <c r="M62" s="320">
        <f t="shared" ref="M62:M80" si="20">K62-L62</f>
        <v>0</v>
      </c>
    </row>
    <row r="63" spans="1:13" ht="12.75" customHeight="1" x14ac:dyDescent="0.25">
      <c r="A63" s="36" t="s">
        <v>121</v>
      </c>
      <c r="B63" s="114"/>
      <c r="C63" s="309"/>
      <c r="D63" s="312"/>
      <c r="E63" s="312"/>
      <c r="F63" s="312"/>
      <c r="G63" s="303"/>
      <c r="H63" s="312"/>
      <c r="I63" s="318">
        <f t="shared" si="16"/>
        <v>0</v>
      </c>
      <c r="J63" s="318">
        <f t="shared" si="17"/>
        <v>0</v>
      </c>
      <c r="K63" s="319">
        <f t="shared" si="18"/>
        <v>0</v>
      </c>
      <c r="L63" s="320">
        <f t="shared" si="19"/>
        <v>0</v>
      </c>
      <c r="M63" s="320">
        <f t="shared" si="20"/>
        <v>0</v>
      </c>
    </row>
    <row r="64" spans="1:13" ht="12.75" hidden="1" customHeight="1" outlineLevel="1" x14ac:dyDescent="0.25">
      <c r="A64" s="36" t="s">
        <v>122</v>
      </c>
      <c r="B64" s="114"/>
      <c r="C64" s="309"/>
      <c r="D64" s="312"/>
      <c r="E64" s="312"/>
      <c r="F64" s="312"/>
      <c r="G64" s="303"/>
      <c r="H64" s="312"/>
      <c r="I64" s="318">
        <f t="shared" si="16"/>
        <v>0</v>
      </c>
      <c r="J64" s="318">
        <f t="shared" si="17"/>
        <v>0</v>
      </c>
      <c r="K64" s="319">
        <f t="shared" si="18"/>
        <v>0</v>
      </c>
      <c r="L64" s="320">
        <f t="shared" si="19"/>
        <v>0</v>
      </c>
      <c r="M64" s="320">
        <f t="shared" si="20"/>
        <v>0</v>
      </c>
    </row>
    <row r="65" spans="1:13" s="1" customFormat="1" ht="12.75" hidden="1" customHeight="1" outlineLevel="1" x14ac:dyDescent="0.25">
      <c r="A65" s="36" t="s">
        <v>123</v>
      </c>
      <c r="B65" s="114"/>
      <c r="C65" s="309"/>
      <c r="D65" s="312"/>
      <c r="E65" s="312"/>
      <c r="F65" s="312"/>
      <c r="G65" s="303"/>
      <c r="H65" s="312"/>
      <c r="I65" s="318">
        <f t="shared" si="16"/>
        <v>0</v>
      </c>
      <c r="J65" s="318">
        <f t="shared" si="17"/>
        <v>0</v>
      </c>
      <c r="K65" s="319">
        <f t="shared" si="18"/>
        <v>0</v>
      </c>
      <c r="L65" s="320">
        <f t="shared" si="19"/>
        <v>0</v>
      </c>
      <c r="M65" s="320">
        <f t="shared" si="20"/>
        <v>0</v>
      </c>
    </row>
    <row r="66" spans="1:13" s="1" customFormat="1" ht="12.75" hidden="1" customHeight="1" outlineLevel="1" x14ac:dyDescent="0.25">
      <c r="A66" s="36" t="s">
        <v>148</v>
      </c>
      <c r="B66" s="114"/>
      <c r="C66" s="309"/>
      <c r="D66" s="312"/>
      <c r="E66" s="312"/>
      <c r="F66" s="312"/>
      <c r="G66" s="303"/>
      <c r="H66" s="312"/>
      <c r="I66" s="318">
        <f t="shared" si="16"/>
        <v>0</v>
      </c>
      <c r="J66" s="318">
        <f t="shared" si="17"/>
        <v>0</v>
      </c>
      <c r="K66" s="319">
        <f t="shared" si="18"/>
        <v>0</v>
      </c>
      <c r="L66" s="320">
        <f t="shared" si="19"/>
        <v>0</v>
      </c>
      <c r="M66" s="320">
        <f t="shared" si="20"/>
        <v>0</v>
      </c>
    </row>
    <row r="67" spans="1:13" s="1" customFormat="1" ht="12.75" hidden="1" customHeight="1" outlineLevel="1" x14ac:dyDescent="0.25">
      <c r="A67" s="36" t="s">
        <v>153</v>
      </c>
      <c r="B67" s="114"/>
      <c r="C67" s="309"/>
      <c r="D67" s="312"/>
      <c r="E67" s="312"/>
      <c r="F67" s="312"/>
      <c r="G67" s="303"/>
      <c r="H67" s="312"/>
      <c r="I67" s="318">
        <f t="shared" si="16"/>
        <v>0</v>
      </c>
      <c r="J67" s="318">
        <f t="shared" si="17"/>
        <v>0</v>
      </c>
      <c r="K67" s="319">
        <f t="shared" si="18"/>
        <v>0</v>
      </c>
      <c r="L67" s="320">
        <f t="shared" si="19"/>
        <v>0</v>
      </c>
      <c r="M67" s="320">
        <f t="shared" si="20"/>
        <v>0</v>
      </c>
    </row>
    <row r="68" spans="1:13" s="1" customFormat="1" ht="12.75" hidden="1" customHeight="1" outlineLevel="1" x14ac:dyDescent="0.25">
      <c r="A68" s="36" t="s">
        <v>237</v>
      </c>
      <c r="B68" s="114"/>
      <c r="C68" s="309"/>
      <c r="D68" s="312"/>
      <c r="E68" s="312"/>
      <c r="F68" s="312"/>
      <c r="G68" s="303"/>
      <c r="H68" s="312"/>
      <c r="I68" s="318">
        <f t="shared" si="16"/>
        <v>0</v>
      </c>
      <c r="J68" s="318">
        <f>IF((I68-D68*G68)&gt;0,D68*G68,I68)</f>
        <v>0</v>
      </c>
      <c r="K68" s="319">
        <f t="shared" si="18"/>
        <v>0</v>
      </c>
      <c r="L68" s="320">
        <f>IF((K68-D68*G68)&gt;0,D68*G68,K68)</f>
        <v>0</v>
      </c>
      <c r="M68" s="320">
        <f t="shared" si="20"/>
        <v>0</v>
      </c>
    </row>
    <row r="69" spans="1:13" s="1" customFormat="1" ht="12.75" hidden="1" customHeight="1" outlineLevel="1" x14ac:dyDescent="0.25">
      <c r="A69" s="36" t="s">
        <v>238</v>
      </c>
      <c r="B69" s="114"/>
      <c r="C69" s="309"/>
      <c r="D69" s="312"/>
      <c r="E69" s="312"/>
      <c r="F69" s="312"/>
      <c r="G69" s="303"/>
      <c r="H69" s="312"/>
      <c r="I69" s="318">
        <f t="shared" si="16"/>
        <v>0</v>
      </c>
      <c r="J69" s="318">
        <f t="shared" si="17"/>
        <v>0</v>
      </c>
      <c r="K69" s="319">
        <f t="shared" si="18"/>
        <v>0</v>
      </c>
      <c r="L69" s="320">
        <f t="shared" si="19"/>
        <v>0</v>
      </c>
      <c r="M69" s="320">
        <f t="shared" si="20"/>
        <v>0</v>
      </c>
    </row>
    <row r="70" spans="1:13" s="1" customFormat="1" ht="12.75" hidden="1" customHeight="1" outlineLevel="1" x14ac:dyDescent="0.25">
      <c r="A70" s="36" t="s">
        <v>239</v>
      </c>
      <c r="B70" s="114"/>
      <c r="C70" s="309"/>
      <c r="D70" s="312"/>
      <c r="E70" s="312"/>
      <c r="F70" s="312"/>
      <c r="G70" s="303"/>
      <c r="H70" s="312"/>
      <c r="I70" s="318">
        <f t="shared" si="16"/>
        <v>0</v>
      </c>
      <c r="J70" s="318">
        <f t="shared" si="17"/>
        <v>0</v>
      </c>
      <c r="K70" s="319">
        <f t="shared" si="18"/>
        <v>0</v>
      </c>
      <c r="L70" s="320">
        <f t="shared" si="19"/>
        <v>0</v>
      </c>
      <c r="M70" s="320">
        <f t="shared" si="20"/>
        <v>0</v>
      </c>
    </row>
    <row r="71" spans="1:13" s="1" customFormat="1" ht="12.75" hidden="1" customHeight="1" outlineLevel="1" x14ac:dyDescent="0.25">
      <c r="A71" s="36" t="s">
        <v>369</v>
      </c>
      <c r="B71" s="114"/>
      <c r="C71" s="309"/>
      <c r="D71" s="312"/>
      <c r="E71" s="312"/>
      <c r="F71" s="312"/>
      <c r="G71" s="303"/>
      <c r="H71" s="312"/>
      <c r="I71" s="318"/>
      <c r="J71" s="318"/>
      <c r="K71" s="319"/>
      <c r="L71" s="320"/>
      <c r="M71" s="320"/>
    </row>
    <row r="72" spans="1:13" s="1" customFormat="1" ht="12.75" hidden="1" customHeight="1" outlineLevel="1" x14ac:dyDescent="0.25">
      <c r="A72" s="36" t="s">
        <v>370</v>
      </c>
      <c r="B72" s="114"/>
      <c r="C72" s="309"/>
      <c r="D72" s="312"/>
      <c r="E72" s="312"/>
      <c r="F72" s="312"/>
      <c r="G72" s="303"/>
      <c r="H72" s="312"/>
      <c r="I72" s="318"/>
      <c r="J72" s="318"/>
      <c r="K72" s="319"/>
      <c r="L72" s="320"/>
      <c r="M72" s="320"/>
    </row>
    <row r="73" spans="1:13" s="1" customFormat="1" ht="12.75" hidden="1" customHeight="1" outlineLevel="1" x14ac:dyDescent="0.25">
      <c r="A73" s="36" t="s">
        <v>371</v>
      </c>
      <c r="B73" s="114"/>
      <c r="C73" s="309"/>
      <c r="D73" s="312"/>
      <c r="E73" s="312"/>
      <c r="F73" s="312"/>
      <c r="G73" s="303"/>
      <c r="H73" s="312"/>
      <c r="I73" s="318"/>
      <c r="J73" s="318"/>
      <c r="K73" s="319"/>
      <c r="L73" s="320"/>
      <c r="M73" s="320"/>
    </row>
    <row r="74" spans="1:13" s="1" customFormat="1" ht="12.75" hidden="1" customHeight="1" outlineLevel="1" x14ac:dyDescent="0.25">
      <c r="A74" s="36" t="s">
        <v>372</v>
      </c>
      <c r="B74" s="114"/>
      <c r="C74" s="309"/>
      <c r="D74" s="312"/>
      <c r="E74" s="312"/>
      <c r="F74" s="312"/>
      <c r="G74" s="303"/>
      <c r="H74" s="312"/>
      <c r="I74" s="318"/>
      <c r="J74" s="318"/>
      <c r="K74" s="319"/>
      <c r="L74" s="320"/>
      <c r="M74" s="320"/>
    </row>
    <row r="75" spans="1:13" s="1" customFormat="1" ht="12.75" hidden="1" customHeight="1" outlineLevel="1" x14ac:dyDescent="0.25">
      <c r="A75" s="36" t="s">
        <v>373</v>
      </c>
      <c r="B75" s="114"/>
      <c r="C75" s="309"/>
      <c r="D75" s="312"/>
      <c r="E75" s="312"/>
      <c r="F75" s="312"/>
      <c r="G75" s="303"/>
      <c r="H75" s="312"/>
      <c r="I75" s="318"/>
      <c r="J75" s="318"/>
      <c r="K75" s="319"/>
      <c r="L75" s="320"/>
      <c r="M75" s="320"/>
    </row>
    <row r="76" spans="1:13" s="1" customFormat="1" ht="12.75" hidden="1" customHeight="1" outlineLevel="1" x14ac:dyDescent="0.25">
      <c r="A76" s="36" t="s">
        <v>413</v>
      </c>
      <c r="B76" s="114"/>
      <c r="C76" s="309"/>
      <c r="D76" s="312"/>
      <c r="E76" s="312"/>
      <c r="F76" s="312"/>
      <c r="G76" s="303"/>
      <c r="H76" s="312"/>
      <c r="I76" s="318">
        <f t="shared" si="16"/>
        <v>0</v>
      </c>
      <c r="J76" s="318">
        <f t="shared" si="17"/>
        <v>0</v>
      </c>
      <c r="K76" s="319">
        <f t="shared" si="18"/>
        <v>0</v>
      </c>
      <c r="L76" s="320">
        <f t="shared" si="19"/>
        <v>0</v>
      </c>
      <c r="M76" s="320">
        <f t="shared" si="20"/>
        <v>0</v>
      </c>
    </row>
    <row r="77" spans="1:13" ht="12.75" hidden="1" customHeight="1" outlineLevel="1" x14ac:dyDescent="0.25">
      <c r="A77" s="36" t="s">
        <v>414</v>
      </c>
      <c r="B77" s="114"/>
      <c r="C77" s="309"/>
      <c r="D77" s="312"/>
      <c r="E77" s="312"/>
      <c r="F77" s="312"/>
      <c r="G77" s="303"/>
      <c r="H77" s="312"/>
      <c r="I77" s="318">
        <f t="shared" si="16"/>
        <v>0</v>
      </c>
      <c r="J77" s="318">
        <f t="shared" si="17"/>
        <v>0</v>
      </c>
      <c r="K77" s="319">
        <f t="shared" si="18"/>
        <v>0</v>
      </c>
      <c r="L77" s="320">
        <f t="shared" si="19"/>
        <v>0</v>
      </c>
      <c r="M77" s="320">
        <f t="shared" si="20"/>
        <v>0</v>
      </c>
    </row>
    <row r="78" spans="1:13" ht="12.75" hidden="1" customHeight="1" outlineLevel="1" x14ac:dyDescent="0.25">
      <c r="A78" s="36" t="s">
        <v>415</v>
      </c>
      <c r="B78" s="114"/>
      <c r="C78" s="309"/>
      <c r="D78" s="312"/>
      <c r="E78" s="312"/>
      <c r="F78" s="312"/>
      <c r="G78" s="303"/>
      <c r="H78" s="312"/>
      <c r="I78" s="318">
        <f t="shared" si="16"/>
        <v>0</v>
      </c>
      <c r="J78" s="318">
        <f t="shared" si="17"/>
        <v>0</v>
      </c>
      <c r="K78" s="319">
        <f t="shared" si="18"/>
        <v>0</v>
      </c>
      <c r="L78" s="320">
        <f t="shared" si="19"/>
        <v>0</v>
      </c>
      <c r="M78" s="320">
        <f t="shared" si="20"/>
        <v>0</v>
      </c>
    </row>
    <row r="79" spans="1:13" ht="12.75" hidden="1" customHeight="1" outlineLevel="1" x14ac:dyDescent="0.25">
      <c r="A79" s="36" t="s">
        <v>416</v>
      </c>
      <c r="B79" s="114"/>
      <c r="C79" s="309"/>
      <c r="D79" s="312"/>
      <c r="E79" s="312"/>
      <c r="F79" s="312"/>
      <c r="G79" s="303"/>
      <c r="H79" s="312"/>
      <c r="I79" s="318">
        <f t="shared" si="16"/>
        <v>0</v>
      </c>
      <c r="J79" s="318">
        <f t="shared" si="17"/>
        <v>0</v>
      </c>
      <c r="K79" s="319">
        <f t="shared" si="18"/>
        <v>0</v>
      </c>
      <c r="L79" s="320">
        <f t="shared" si="19"/>
        <v>0</v>
      </c>
      <c r="M79" s="320">
        <f t="shared" si="20"/>
        <v>0</v>
      </c>
    </row>
    <row r="80" spans="1:13" ht="12.75" hidden="1" customHeight="1" outlineLevel="1" x14ac:dyDescent="0.25">
      <c r="A80" s="36" t="s">
        <v>737</v>
      </c>
      <c r="B80" s="114"/>
      <c r="C80" s="309"/>
      <c r="D80" s="312"/>
      <c r="E80" s="312"/>
      <c r="F80" s="312"/>
      <c r="G80" s="303"/>
      <c r="H80" s="312"/>
      <c r="I80" s="318">
        <f t="shared" si="16"/>
        <v>0</v>
      </c>
      <c r="J80" s="318">
        <f t="shared" si="17"/>
        <v>0</v>
      </c>
      <c r="K80" s="319">
        <f t="shared" si="18"/>
        <v>0</v>
      </c>
      <c r="L80" s="320">
        <f t="shared" si="19"/>
        <v>0</v>
      </c>
      <c r="M80" s="320">
        <f t="shared" si="20"/>
        <v>0</v>
      </c>
    </row>
    <row r="81" spans="1:14" ht="26.1" customHeight="1" collapsed="1" x14ac:dyDescent="0.25">
      <c r="A81" s="117" t="s">
        <v>335</v>
      </c>
      <c r="B81" s="37" t="s">
        <v>743</v>
      </c>
      <c r="C81" s="719" t="s">
        <v>17</v>
      </c>
      <c r="D81" s="324">
        <f>SUM(D40:D80)</f>
        <v>0</v>
      </c>
      <c r="E81" s="324">
        <f>SUM(E40:E80)</f>
        <v>0</v>
      </c>
      <c r="F81" s="324">
        <f>SUM(F40:F80)</f>
        <v>0</v>
      </c>
      <c r="G81" s="239" t="s">
        <v>17</v>
      </c>
      <c r="H81" s="325">
        <f t="shared" ref="H81:M81" si="21">SUM(H40:H80)</f>
        <v>0</v>
      </c>
      <c r="I81" s="325">
        <f t="shared" si="21"/>
        <v>0</v>
      </c>
      <c r="J81" s="325">
        <f t="shared" si="21"/>
        <v>0</v>
      </c>
      <c r="K81" s="325">
        <f t="shared" si="21"/>
        <v>0</v>
      </c>
      <c r="L81" s="325">
        <f t="shared" si="21"/>
        <v>0</v>
      </c>
      <c r="M81" s="325">
        <f t="shared" si="21"/>
        <v>0</v>
      </c>
    </row>
    <row r="82" spans="1:14" s="146" customFormat="1" ht="24" customHeight="1" x14ac:dyDescent="0.25">
      <c r="A82" s="142" t="s">
        <v>336</v>
      </c>
      <c r="B82" s="65" t="s">
        <v>393</v>
      </c>
      <c r="C82" s="720"/>
      <c r="D82" s="764" t="s">
        <v>17</v>
      </c>
      <c r="E82" s="765"/>
      <c r="F82" s="765"/>
      <c r="G82" s="766"/>
      <c r="H82" s="320">
        <f>E81-I82</f>
        <v>0</v>
      </c>
      <c r="I82" s="312"/>
      <c r="J82" s="312"/>
      <c r="K82" s="326">
        <f>I82-J82</f>
        <v>0</v>
      </c>
      <c r="L82" s="335"/>
      <c r="M82" s="327">
        <f>K82-L82</f>
        <v>0</v>
      </c>
    </row>
    <row r="83" spans="1:14" s="111" customFormat="1" ht="26.1" customHeight="1" x14ac:dyDescent="0.25">
      <c r="A83" s="167" t="s">
        <v>423</v>
      </c>
      <c r="B83" s="168" t="s">
        <v>744</v>
      </c>
      <c r="C83" s="721"/>
      <c r="D83" s="339">
        <f>D81-E81</f>
        <v>0</v>
      </c>
      <c r="E83" s="764" t="s">
        <v>17</v>
      </c>
      <c r="F83" s="765"/>
      <c r="G83" s="766"/>
      <c r="H83" s="328">
        <f t="shared" ref="H83:M83" si="22">H81-H82</f>
        <v>0</v>
      </c>
      <c r="I83" s="324">
        <f t="shared" si="22"/>
        <v>0</v>
      </c>
      <c r="J83" s="324">
        <f t="shared" si="22"/>
        <v>0</v>
      </c>
      <c r="K83" s="324">
        <f t="shared" si="22"/>
        <v>0</v>
      </c>
      <c r="L83" s="324">
        <f t="shared" si="22"/>
        <v>0</v>
      </c>
      <c r="M83" s="324">
        <f t="shared" si="22"/>
        <v>0</v>
      </c>
      <c r="N83" s="147"/>
    </row>
    <row r="84" spans="1:14" s="131" customFormat="1" ht="12.75" customHeight="1" x14ac:dyDescent="0.2">
      <c r="A84" s="456" t="s">
        <v>699</v>
      </c>
      <c r="B84" s="457" t="s">
        <v>742</v>
      </c>
      <c r="C84" s="458" t="s">
        <v>17</v>
      </c>
      <c r="D84" s="459">
        <f>D37+D83</f>
        <v>0</v>
      </c>
      <c r="E84" s="770" t="s">
        <v>17</v>
      </c>
      <c r="F84" s="771"/>
      <c r="G84" s="772"/>
      <c r="H84" s="461">
        <f t="shared" ref="H84:M84" si="23">H37+H83</f>
        <v>0</v>
      </c>
      <c r="I84" s="461">
        <f t="shared" si="23"/>
        <v>0</v>
      </c>
      <c r="J84" s="461">
        <f t="shared" si="23"/>
        <v>0</v>
      </c>
      <c r="K84" s="461">
        <f t="shared" si="23"/>
        <v>0</v>
      </c>
      <c r="L84" s="461">
        <f t="shared" si="23"/>
        <v>0</v>
      </c>
      <c r="M84" s="461">
        <f t="shared" si="23"/>
        <v>0</v>
      </c>
      <c r="N84" s="462"/>
    </row>
    <row r="85" spans="1:14" ht="12.75" customHeight="1" x14ac:dyDescent="0.25">
      <c r="A85" s="809"/>
      <c r="B85" s="809"/>
      <c r="C85" s="809"/>
      <c r="D85" s="809"/>
      <c r="E85" s="809"/>
      <c r="F85" s="809"/>
      <c r="G85" s="809"/>
      <c r="H85" s="809"/>
      <c r="I85" s="809"/>
      <c r="J85" s="809"/>
      <c r="K85" s="809"/>
      <c r="L85" s="809"/>
      <c r="M85" s="809"/>
    </row>
    <row r="86" spans="1:14" ht="12.75" customHeight="1" x14ac:dyDescent="0.25">
      <c r="A86" s="292" t="s">
        <v>125</v>
      </c>
      <c r="B86" s="718" t="s">
        <v>750</v>
      </c>
      <c r="C86" s="718"/>
      <c r="D86" s="718"/>
      <c r="E86" s="718"/>
      <c r="F86" s="718"/>
      <c r="G86" s="718"/>
      <c r="H86" s="718"/>
      <c r="I86" s="718"/>
      <c r="J86" s="718"/>
      <c r="K86" s="718"/>
      <c r="L86" s="718"/>
      <c r="M86" s="718"/>
    </row>
    <row r="87" spans="1:14" ht="12.75" customHeight="1" x14ac:dyDescent="0.25">
      <c r="A87" s="36" t="s">
        <v>156</v>
      </c>
      <c r="B87" s="114"/>
      <c r="C87" s="446"/>
      <c r="D87" s="313"/>
      <c r="E87" s="313"/>
      <c r="F87" s="445">
        <f>D87-E87</f>
        <v>0</v>
      </c>
      <c r="G87" s="302"/>
      <c r="H87" s="741" t="s">
        <v>17</v>
      </c>
      <c r="I87" s="742"/>
      <c r="J87" s="313"/>
      <c r="K87" s="315">
        <f>IF(J87&lt;&gt;0,D87-J87,0)</f>
        <v>0</v>
      </c>
      <c r="L87" s="329"/>
      <c r="M87" s="330">
        <f>IF(J87&lt;=L87,IF(L87&lt;&gt;0,IF(K87=0,D87-L87,K87-L87),D87),"Kontrolli kapitalikulu!")</f>
        <v>0</v>
      </c>
    </row>
    <row r="88" spans="1:14" ht="12.75" customHeight="1" x14ac:dyDescent="0.25">
      <c r="A88" s="36" t="s">
        <v>157</v>
      </c>
      <c r="B88" s="114"/>
      <c r="C88" s="114"/>
      <c r="D88" s="312"/>
      <c r="E88" s="312"/>
      <c r="F88" s="445">
        <f t="shared" ref="F88:F96" si="24">D88-E88</f>
        <v>0</v>
      </c>
      <c r="G88" s="303"/>
      <c r="H88" s="743"/>
      <c r="I88" s="744"/>
      <c r="J88" s="312"/>
      <c r="K88" s="318">
        <f t="shared" ref="K88:K111" si="25">IF(J88&lt;&gt;0,D88-J88,0)</f>
        <v>0</v>
      </c>
      <c r="L88" s="331"/>
      <c r="M88" s="248">
        <f t="shared" ref="M88:M111" si="26">IF(J88&lt;=L88,IF(L88&lt;&gt;0,IF(K88=0,D88-L88,K88-L88),D88),"Kontrolli kapitalikulu!")</f>
        <v>0</v>
      </c>
    </row>
    <row r="89" spans="1:14" ht="12.75" hidden="1" customHeight="1" outlineLevel="1" x14ac:dyDescent="0.25">
      <c r="A89" s="36" t="s">
        <v>213</v>
      </c>
      <c r="B89" s="114"/>
      <c r="C89" s="114"/>
      <c r="D89" s="312"/>
      <c r="E89" s="312"/>
      <c r="F89" s="445">
        <f t="shared" si="24"/>
        <v>0</v>
      </c>
      <c r="G89" s="303"/>
      <c r="H89" s="743"/>
      <c r="I89" s="744"/>
      <c r="J89" s="312"/>
      <c r="K89" s="318">
        <f t="shared" si="25"/>
        <v>0</v>
      </c>
      <c r="L89" s="331"/>
      <c r="M89" s="248">
        <f t="shared" si="26"/>
        <v>0</v>
      </c>
    </row>
    <row r="90" spans="1:14" ht="12.75" hidden="1" customHeight="1" outlineLevel="1" x14ac:dyDescent="0.25">
      <c r="A90" s="36" t="s">
        <v>214</v>
      </c>
      <c r="B90" s="114"/>
      <c r="C90" s="114"/>
      <c r="D90" s="312"/>
      <c r="E90" s="312"/>
      <c r="F90" s="445">
        <f t="shared" si="24"/>
        <v>0</v>
      </c>
      <c r="G90" s="303"/>
      <c r="H90" s="743"/>
      <c r="I90" s="744"/>
      <c r="J90" s="312"/>
      <c r="K90" s="318">
        <f t="shared" si="25"/>
        <v>0</v>
      </c>
      <c r="L90" s="331"/>
      <c r="M90" s="248">
        <f t="shared" si="26"/>
        <v>0</v>
      </c>
    </row>
    <row r="91" spans="1:14" ht="12.75" hidden="1" customHeight="1" outlineLevel="1" x14ac:dyDescent="0.25">
      <c r="A91" s="36" t="s">
        <v>215</v>
      </c>
      <c r="B91" s="114"/>
      <c r="C91" s="114"/>
      <c r="D91" s="312"/>
      <c r="E91" s="312"/>
      <c r="F91" s="445">
        <f t="shared" si="24"/>
        <v>0</v>
      </c>
      <c r="G91" s="303"/>
      <c r="H91" s="743"/>
      <c r="I91" s="744"/>
      <c r="J91" s="312"/>
      <c r="K91" s="318">
        <f t="shared" si="25"/>
        <v>0</v>
      </c>
      <c r="L91" s="331"/>
      <c r="M91" s="248">
        <f t="shared" si="26"/>
        <v>0</v>
      </c>
    </row>
    <row r="92" spans="1:14" ht="12.75" hidden="1" customHeight="1" outlineLevel="1" x14ac:dyDescent="0.25">
      <c r="A92" s="36" t="s">
        <v>374</v>
      </c>
      <c r="B92" s="114"/>
      <c r="C92" s="171"/>
      <c r="D92" s="314"/>
      <c r="E92" s="314"/>
      <c r="F92" s="445">
        <f t="shared" si="24"/>
        <v>0</v>
      </c>
      <c r="G92" s="304"/>
      <c r="H92" s="743"/>
      <c r="I92" s="744"/>
      <c r="J92" s="314"/>
      <c r="K92" s="318">
        <f t="shared" si="25"/>
        <v>0</v>
      </c>
      <c r="L92" s="332"/>
      <c r="M92" s="248">
        <f t="shared" si="26"/>
        <v>0</v>
      </c>
    </row>
    <row r="93" spans="1:14" ht="12.75" hidden="1" customHeight="1" outlineLevel="1" x14ac:dyDescent="0.25">
      <c r="A93" s="36" t="s">
        <v>375</v>
      </c>
      <c r="B93" s="114"/>
      <c r="C93" s="171"/>
      <c r="D93" s="314"/>
      <c r="E93" s="314"/>
      <c r="F93" s="445">
        <f t="shared" si="24"/>
        <v>0</v>
      </c>
      <c r="G93" s="304"/>
      <c r="H93" s="743"/>
      <c r="I93" s="744"/>
      <c r="J93" s="314"/>
      <c r="K93" s="318">
        <f t="shared" si="25"/>
        <v>0</v>
      </c>
      <c r="L93" s="332"/>
      <c r="M93" s="248">
        <f t="shared" si="26"/>
        <v>0</v>
      </c>
    </row>
    <row r="94" spans="1:14" ht="12.75" hidden="1" customHeight="1" outlineLevel="1" x14ac:dyDescent="0.25">
      <c r="A94" s="36" t="s">
        <v>216</v>
      </c>
      <c r="B94" s="114"/>
      <c r="C94" s="171"/>
      <c r="D94" s="314"/>
      <c r="E94" s="314"/>
      <c r="F94" s="445">
        <f t="shared" si="24"/>
        <v>0</v>
      </c>
      <c r="G94" s="304"/>
      <c r="H94" s="743"/>
      <c r="I94" s="744"/>
      <c r="J94" s="314"/>
      <c r="K94" s="318">
        <f t="shared" si="25"/>
        <v>0</v>
      </c>
      <c r="L94" s="332"/>
      <c r="M94" s="248">
        <f>IF(J94&lt;=L94,IF(L94&lt;&gt;0,IF(K94=0,D94-L94,K94-L94),D94),"Kontrolli kapitalikulu!")</f>
        <v>0</v>
      </c>
    </row>
    <row r="95" spans="1:14" ht="12.75" hidden="1" customHeight="1" outlineLevel="1" x14ac:dyDescent="0.25">
      <c r="A95" s="36" t="s">
        <v>305</v>
      </c>
      <c r="B95" s="114"/>
      <c r="C95" s="171"/>
      <c r="D95" s="314"/>
      <c r="E95" s="314"/>
      <c r="F95" s="445">
        <f t="shared" si="24"/>
        <v>0</v>
      </c>
      <c r="G95" s="304"/>
      <c r="H95" s="743"/>
      <c r="I95" s="744"/>
      <c r="J95" s="314"/>
      <c r="K95" s="318">
        <f t="shared" si="25"/>
        <v>0</v>
      </c>
      <c r="L95" s="332"/>
      <c r="M95" s="248">
        <f t="shared" si="26"/>
        <v>0</v>
      </c>
    </row>
    <row r="96" spans="1:14" ht="12.75" hidden="1" customHeight="1" outlineLevel="1" x14ac:dyDescent="0.25">
      <c r="A96" s="36" t="s">
        <v>306</v>
      </c>
      <c r="B96" s="114"/>
      <c r="C96" s="171"/>
      <c r="D96" s="314"/>
      <c r="E96" s="314"/>
      <c r="F96" s="445">
        <f t="shared" si="24"/>
        <v>0</v>
      </c>
      <c r="G96" s="304"/>
      <c r="H96" s="743"/>
      <c r="I96" s="744"/>
      <c r="J96" s="314"/>
      <c r="K96" s="318">
        <f t="shared" si="25"/>
        <v>0</v>
      </c>
      <c r="L96" s="332"/>
      <c r="M96" s="248">
        <f t="shared" si="26"/>
        <v>0</v>
      </c>
    </row>
    <row r="97" spans="1:13" ht="24" customHeight="1" collapsed="1" x14ac:dyDescent="0.25">
      <c r="A97" s="117" t="s">
        <v>700</v>
      </c>
      <c r="B97" s="37" t="s">
        <v>751</v>
      </c>
      <c r="C97" s="719" t="s">
        <v>17</v>
      </c>
      <c r="D97" s="324">
        <f>SUM(D87:D96)</f>
        <v>0</v>
      </c>
      <c r="E97" s="324">
        <f>SUM(E87:E96)</f>
        <v>0</v>
      </c>
      <c r="F97" s="324">
        <f>SUM(F87:F96)</f>
        <v>0</v>
      </c>
      <c r="G97" s="239" t="s">
        <v>17</v>
      </c>
      <c r="H97" s="745"/>
      <c r="I97" s="746"/>
      <c r="J97" s="318">
        <f>SUM(J87:J96)</f>
        <v>0</v>
      </c>
      <c r="K97" s="318">
        <f>SUM(K87:K96)</f>
        <v>0</v>
      </c>
      <c r="L97" s="318">
        <f>SUM(L87:L96)</f>
        <v>0</v>
      </c>
      <c r="M97" s="318">
        <f>SUM(M87:M96)</f>
        <v>0</v>
      </c>
    </row>
    <row r="98" spans="1:13" ht="25.5" x14ac:dyDescent="0.25">
      <c r="A98" s="36" t="s">
        <v>701</v>
      </c>
      <c r="B98" s="65" t="s">
        <v>392</v>
      </c>
      <c r="C98" s="720"/>
      <c r="D98" s="717" t="s">
        <v>17</v>
      </c>
      <c r="E98" s="717"/>
      <c r="F98" s="717"/>
      <c r="G98" s="717"/>
      <c r="H98" s="717"/>
      <c r="I98" s="717"/>
      <c r="J98" s="333"/>
      <c r="K98" s="334"/>
      <c r="L98" s="335"/>
      <c r="M98" s="335"/>
    </row>
    <row r="99" spans="1:13" s="111" customFormat="1" ht="25.5" x14ac:dyDescent="0.25">
      <c r="A99" s="117" t="s">
        <v>702</v>
      </c>
      <c r="B99" s="37" t="s">
        <v>746</v>
      </c>
      <c r="C99" s="721"/>
      <c r="D99" s="339">
        <f>D97-E97</f>
        <v>0</v>
      </c>
      <c r="E99" s="758" t="s">
        <v>17</v>
      </c>
      <c r="F99" s="759"/>
      <c r="G99" s="759"/>
      <c r="H99" s="759"/>
      <c r="I99" s="760"/>
      <c r="J99" s="325">
        <f>J97-J98</f>
        <v>0</v>
      </c>
      <c r="K99" s="325">
        <f>K97-K98</f>
        <v>0</v>
      </c>
      <c r="L99" s="325">
        <f>L97-L98</f>
        <v>0</v>
      </c>
      <c r="M99" s="336">
        <f>M97-M98</f>
        <v>0</v>
      </c>
    </row>
    <row r="100" spans="1:13" s="111" customFormat="1" ht="12.75" customHeight="1" x14ac:dyDescent="0.25">
      <c r="A100" s="809"/>
      <c r="B100" s="809"/>
      <c r="C100" s="809"/>
      <c r="D100" s="809"/>
      <c r="E100" s="809"/>
      <c r="F100" s="809"/>
      <c r="G100" s="809"/>
      <c r="H100" s="809"/>
      <c r="I100" s="809"/>
      <c r="J100" s="809"/>
      <c r="K100" s="809"/>
      <c r="L100" s="809"/>
      <c r="M100" s="809"/>
    </row>
    <row r="101" spans="1:13" ht="12.75" customHeight="1" x14ac:dyDescent="0.25">
      <c r="A101" s="117" t="s">
        <v>164</v>
      </c>
      <c r="B101" s="718" t="s">
        <v>745</v>
      </c>
      <c r="C101" s="718"/>
      <c r="D101" s="718"/>
      <c r="E101" s="718"/>
      <c r="F101" s="718"/>
      <c r="G101" s="718"/>
      <c r="H101" s="718"/>
      <c r="I101" s="718"/>
      <c r="J101" s="718"/>
      <c r="K101" s="718"/>
      <c r="L101" s="718"/>
      <c r="M101" s="718"/>
    </row>
    <row r="102" spans="1:13" ht="12.75" customHeight="1" x14ac:dyDescent="0.25">
      <c r="A102" s="36" t="s">
        <v>197</v>
      </c>
      <c r="B102" s="114"/>
      <c r="C102" s="311"/>
      <c r="D102" s="313"/>
      <c r="E102" s="313"/>
      <c r="F102" s="445">
        <f>D102-E102</f>
        <v>0</v>
      </c>
      <c r="G102" s="302"/>
      <c r="H102" s="741" t="s">
        <v>17</v>
      </c>
      <c r="I102" s="742"/>
      <c r="J102" s="313"/>
      <c r="K102" s="315">
        <f t="shared" si="25"/>
        <v>0</v>
      </c>
      <c r="L102" s="329"/>
      <c r="M102" s="330">
        <f t="shared" si="26"/>
        <v>0</v>
      </c>
    </row>
    <row r="103" spans="1:13" ht="12.75" customHeight="1" x14ac:dyDescent="0.25">
      <c r="A103" s="36" t="s">
        <v>198</v>
      </c>
      <c r="B103" s="114"/>
      <c r="C103" s="114"/>
      <c r="D103" s="312"/>
      <c r="E103" s="312"/>
      <c r="F103" s="445">
        <f t="shared" ref="F103:F111" si="27">D103-E103</f>
        <v>0</v>
      </c>
      <c r="G103" s="303"/>
      <c r="H103" s="743"/>
      <c r="I103" s="744"/>
      <c r="J103" s="312"/>
      <c r="K103" s="318">
        <f t="shared" si="25"/>
        <v>0</v>
      </c>
      <c r="L103" s="331"/>
      <c r="M103" s="248">
        <f t="shared" si="26"/>
        <v>0</v>
      </c>
    </row>
    <row r="104" spans="1:13" ht="12.75" hidden="1" customHeight="1" outlineLevel="1" x14ac:dyDescent="0.25">
      <c r="A104" s="36" t="s">
        <v>417</v>
      </c>
      <c r="B104" s="114"/>
      <c r="C104" s="114"/>
      <c r="D104" s="312"/>
      <c r="E104" s="312"/>
      <c r="F104" s="445">
        <f t="shared" si="27"/>
        <v>0</v>
      </c>
      <c r="G104" s="303"/>
      <c r="H104" s="743"/>
      <c r="I104" s="744"/>
      <c r="J104" s="312"/>
      <c r="K104" s="318">
        <f t="shared" si="25"/>
        <v>0</v>
      </c>
      <c r="L104" s="331"/>
      <c r="M104" s="248">
        <f t="shared" si="26"/>
        <v>0</v>
      </c>
    </row>
    <row r="105" spans="1:13" ht="12.75" hidden="1" customHeight="1" outlineLevel="1" x14ac:dyDescent="0.25">
      <c r="A105" s="36" t="s">
        <v>418</v>
      </c>
      <c r="B105" s="114"/>
      <c r="C105" s="114"/>
      <c r="D105" s="312"/>
      <c r="E105" s="312"/>
      <c r="F105" s="445">
        <f t="shared" si="27"/>
        <v>0</v>
      </c>
      <c r="G105" s="303"/>
      <c r="H105" s="743"/>
      <c r="I105" s="744"/>
      <c r="J105" s="312"/>
      <c r="K105" s="318">
        <f t="shared" si="25"/>
        <v>0</v>
      </c>
      <c r="L105" s="331"/>
      <c r="M105" s="248">
        <f t="shared" si="26"/>
        <v>0</v>
      </c>
    </row>
    <row r="106" spans="1:13" ht="12.75" hidden="1" customHeight="1" outlineLevel="1" x14ac:dyDescent="0.25">
      <c r="A106" s="36" t="s">
        <v>419</v>
      </c>
      <c r="B106" s="114"/>
      <c r="C106" s="114"/>
      <c r="D106" s="312"/>
      <c r="E106" s="312"/>
      <c r="F106" s="445">
        <f t="shared" si="27"/>
        <v>0</v>
      </c>
      <c r="G106" s="303"/>
      <c r="H106" s="743"/>
      <c r="I106" s="744"/>
      <c r="J106" s="312"/>
      <c r="K106" s="318">
        <f t="shared" si="25"/>
        <v>0</v>
      </c>
      <c r="L106" s="331"/>
      <c r="M106" s="248">
        <f t="shared" si="26"/>
        <v>0</v>
      </c>
    </row>
    <row r="107" spans="1:13" ht="12.75" hidden="1" customHeight="1" outlineLevel="1" x14ac:dyDescent="0.25">
      <c r="A107" s="36" t="s">
        <v>708</v>
      </c>
      <c r="B107" s="114"/>
      <c r="C107" s="114"/>
      <c r="D107" s="312"/>
      <c r="E107" s="312"/>
      <c r="F107" s="445">
        <f t="shared" si="27"/>
        <v>0</v>
      </c>
      <c r="G107" s="303"/>
      <c r="H107" s="743"/>
      <c r="I107" s="744"/>
      <c r="J107" s="312"/>
      <c r="K107" s="318">
        <f t="shared" si="25"/>
        <v>0</v>
      </c>
      <c r="L107" s="331"/>
      <c r="M107" s="248">
        <f t="shared" si="26"/>
        <v>0</v>
      </c>
    </row>
    <row r="108" spans="1:13" ht="12.75" hidden="1" customHeight="1" outlineLevel="1" x14ac:dyDescent="0.25">
      <c r="A108" s="36" t="s">
        <v>709</v>
      </c>
      <c r="B108" s="114"/>
      <c r="C108" s="114"/>
      <c r="D108" s="312"/>
      <c r="E108" s="312"/>
      <c r="F108" s="445">
        <f t="shared" si="27"/>
        <v>0</v>
      </c>
      <c r="G108" s="303"/>
      <c r="H108" s="743"/>
      <c r="I108" s="744"/>
      <c r="J108" s="312"/>
      <c r="K108" s="318">
        <f t="shared" si="25"/>
        <v>0</v>
      </c>
      <c r="L108" s="331"/>
      <c r="M108" s="248">
        <f t="shared" si="26"/>
        <v>0</v>
      </c>
    </row>
    <row r="109" spans="1:13" ht="12.75" hidden="1" customHeight="1" outlineLevel="1" x14ac:dyDescent="0.25">
      <c r="A109" s="36" t="s">
        <v>710</v>
      </c>
      <c r="B109" s="114"/>
      <c r="C109" s="114"/>
      <c r="D109" s="312"/>
      <c r="E109" s="312"/>
      <c r="F109" s="445">
        <f t="shared" si="27"/>
        <v>0</v>
      </c>
      <c r="G109" s="303"/>
      <c r="H109" s="743"/>
      <c r="I109" s="744"/>
      <c r="J109" s="312"/>
      <c r="K109" s="318">
        <f t="shared" si="25"/>
        <v>0</v>
      </c>
      <c r="L109" s="331"/>
      <c r="M109" s="248">
        <f t="shared" si="26"/>
        <v>0</v>
      </c>
    </row>
    <row r="110" spans="1:13" ht="12.75" hidden="1" customHeight="1" outlineLevel="1" x14ac:dyDescent="0.25">
      <c r="A110" s="36" t="s">
        <v>711</v>
      </c>
      <c r="B110" s="114"/>
      <c r="C110" s="114"/>
      <c r="D110" s="312"/>
      <c r="E110" s="312"/>
      <c r="F110" s="445">
        <f t="shared" si="27"/>
        <v>0</v>
      </c>
      <c r="G110" s="303"/>
      <c r="H110" s="743"/>
      <c r="I110" s="744"/>
      <c r="J110" s="312"/>
      <c r="K110" s="318">
        <f t="shared" si="25"/>
        <v>0</v>
      </c>
      <c r="L110" s="331"/>
      <c r="M110" s="248">
        <f t="shared" si="26"/>
        <v>0</v>
      </c>
    </row>
    <row r="111" spans="1:13" ht="12.75" hidden="1" customHeight="1" outlineLevel="1" x14ac:dyDescent="0.25">
      <c r="A111" s="36" t="s">
        <v>712</v>
      </c>
      <c r="B111" s="114"/>
      <c r="C111" s="114"/>
      <c r="D111" s="312"/>
      <c r="E111" s="312"/>
      <c r="F111" s="445">
        <f t="shared" si="27"/>
        <v>0</v>
      </c>
      <c r="G111" s="303"/>
      <c r="H111" s="743"/>
      <c r="I111" s="744"/>
      <c r="J111" s="312"/>
      <c r="K111" s="318">
        <f t="shared" si="25"/>
        <v>0</v>
      </c>
      <c r="L111" s="331"/>
      <c r="M111" s="248">
        <f t="shared" si="26"/>
        <v>0</v>
      </c>
    </row>
    <row r="112" spans="1:13" ht="24" customHeight="1" collapsed="1" x14ac:dyDescent="0.25">
      <c r="A112" s="117" t="s">
        <v>703</v>
      </c>
      <c r="B112" s="37" t="s">
        <v>752</v>
      </c>
      <c r="C112" s="756" t="s">
        <v>17</v>
      </c>
      <c r="D112" s="324">
        <f>SUM(D102:D111)</f>
        <v>0</v>
      </c>
      <c r="E112" s="324">
        <f>SUM(E102:E111)</f>
        <v>0</v>
      </c>
      <c r="F112" s="324">
        <f>SUM(F102:F111)</f>
        <v>0</v>
      </c>
      <c r="G112" s="239" t="s">
        <v>17</v>
      </c>
      <c r="H112" s="745"/>
      <c r="I112" s="746"/>
      <c r="J112" s="318">
        <f>SUM(J102:J111)</f>
        <v>0</v>
      </c>
      <c r="K112" s="318">
        <f>SUM(K102:K111)</f>
        <v>0</v>
      </c>
      <c r="L112" s="318">
        <f>SUM(L102:L111)</f>
        <v>0</v>
      </c>
      <c r="M112" s="318">
        <f>SUM(M102:M111)</f>
        <v>0</v>
      </c>
    </row>
    <row r="113" spans="1:13" ht="25.5" x14ac:dyDescent="0.25">
      <c r="A113" s="36" t="s">
        <v>704</v>
      </c>
      <c r="B113" s="65" t="s">
        <v>392</v>
      </c>
      <c r="C113" s="716"/>
      <c r="D113" s="717" t="s">
        <v>17</v>
      </c>
      <c r="E113" s="717"/>
      <c r="F113" s="717"/>
      <c r="G113" s="717"/>
      <c r="H113" s="717"/>
      <c r="I113" s="717"/>
      <c r="J113" s="333"/>
      <c r="K113" s="334"/>
      <c r="L113" s="335"/>
      <c r="M113" s="335"/>
    </row>
    <row r="114" spans="1:13" s="111" customFormat="1" ht="38.25" x14ac:dyDescent="0.25">
      <c r="A114" s="117" t="s">
        <v>705</v>
      </c>
      <c r="B114" s="37" t="s">
        <v>747</v>
      </c>
      <c r="C114" s="716"/>
      <c r="D114" s="339">
        <f>D112-E112</f>
        <v>0</v>
      </c>
      <c r="E114" s="738" t="s">
        <v>17</v>
      </c>
      <c r="F114" s="739"/>
      <c r="G114" s="739"/>
      <c r="H114" s="739"/>
      <c r="I114" s="740"/>
      <c r="J114" s="325">
        <f>J112-J113</f>
        <v>0</v>
      </c>
      <c r="K114" s="325">
        <f>K112-K113</f>
        <v>0</v>
      </c>
      <c r="L114" s="325">
        <f>L112-L113</f>
        <v>0</v>
      </c>
      <c r="M114" s="336">
        <f>M112-M113</f>
        <v>0</v>
      </c>
    </row>
    <row r="115" spans="1:13" s="131" customFormat="1" ht="25.5" x14ac:dyDescent="0.2">
      <c r="A115" s="463" t="s">
        <v>721</v>
      </c>
      <c r="B115" s="464" t="s">
        <v>748</v>
      </c>
      <c r="C115" s="757" t="s">
        <v>17</v>
      </c>
      <c r="D115" s="459">
        <f>D99+D114</f>
        <v>0</v>
      </c>
      <c r="E115" s="724" t="s">
        <v>17</v>
      </c>
      <c r="F115" s="724"/>
      <c r="G115" s="724"/>
      <c r="H115" s="724"/>
      <c r="I115" s="724"/>
      <c r="J115" s="465">
        <f>J99+J114</f>
        <v>0</v>
      </c>
      <c r="K115" s="465">
        <f>K99+K114</f>
        <v>0</v>
      </c>
      <c r="L115" s="465">
        <f>L99+L114</f>
        <v>0</v>
      </c>
      <c r="M115" s="465">
        <f>M99+M114</f>
        <v>0</v>
      </c>
    </row>
    <row r="116" spans="1:13" s="131" customFormat="1" ht="36" customHeight="1" x14ac:dyDescent="0.2">
      <c r="A116" s="17" t="s">
        <v>171</v>
      </c>
      <c r="B116" s="464" t="s">
        <v>749</v>
      </c>
      <c r="C116" s="757"/>
      <c r="D116" s="459">
        <f>D84+D115</f>
        <v>0</v>
      </c>
      <c r="E116" s="724"/>
      <c r="F116" s="724"/>
      <c r="G116" s="724"/>
      <c r="H116" s="724"/>
      <c r="I116" s="724"/>
      <c r="J116" s="465">
        <f>J84+J115</f>
        <v>0</v>
      </c>
      <c r="K116" s="465">
        <f>K84+K115</f>
        <v>0</v>
      </c>
      <c r="L116" s="465">
        <f>L84+L115</f>
        <v>0</v>
      </c>
      <c r="M116" s="465">
        <f>M84+M115</f>
        <v>0</v>
      </c>
    </row>
    <row r="117" spans="1:13" ht="24" customHeight="1" x14ac:dyDescent="0.25"/>
    <row r="118" spans="1:13" ht="12.75" customHeight="1" x14ac:dyDescent="0.25">
      <c r="A118" s="802" t="s">
        <v>427</v>
      </c>
      <c r="B118" s="802"/>
      <c r="C118" s="802"/>
      <c r="D118" s="802"/>
      <c r="E118" s="802"/>
      <c r="F118" s="802"/>
      <c r="G118" s="802"/>
    </row>
    <row r="119" spans="1:13" ht="24" customHeight="1" x14ac:dyDescent="0.25">
      <c r="A119" s="782" t="s">
        <v>40</v>
      </c>
      <c r="B119" s="773" t="s">
        <v>22</v>
      </c>
      <c r="C119" s="774"/>
      <c r="D119" s="775"/>
      <c r="E119" s="803" t="s">
        <v>0</v>
      </c>
      <c r="F119" s="818" t="str">
        <f>J4&amp;" ("&amp;J5&amp;")"</f>
        <v>majandusaasta (2026)</v>
      </c>
      <c r="G119" s="819"/>
      <c r="H119" s="820"/>
      <c r="I119" s="818" t="str">
        <f>L4&amp;" ("&amp;L5&amp;")"</f>
        <v>majandusaasta pluss 1 aasta (2027)</v>
      </c>
      <c r="J119" s="819"/>
      <c r="K119" s="820"/>
    </row>
    <row r="120" spans="1:13" ht="36" customHeight="1" x14ac:dyDescent="0.25">
      <c r="A120" s="782"/>
      <c r="B120" s="776"/>
      <c r="C120" s="777"/>
      <c r="D120" s="778"/>
      <c r="E120" s="803"/>
      <c r="F120" s="448" t="s">
        <v>718</v>
      </c>
      <c r="G120" s="447" t="s">
        <v>719</v>
      </c>
      <c r="H120" s="447" t="s">
        <v>720</v>
      </c>
      <c r="I120" s="448" t="s">
        <v>718</v>
      </c>
      <c r="J120" s="447" t="s">
        <v>719</v>
      </c>
      <c r="K120" s="447" t="s">
        <v>720</v>
      </c>
    </row>
    <row r="121" spans="1:13" ht="14.1" customHeight="1" x14ac:dyDescent="0.25">
      <c r="A121" s="449" t="s">
        <v>222</v>
      </c>
      <c r="B121" s="821" t="s">
        <v>323</v>
      </c>
      <c r="C121" s="822"/>
      <c r="D121" s="823"/>
      <c r="E121" s="124" t="s">
        <v>6</v>
      </c>
      <c r="F121" s="450">
        <f>G121+H121</f>
        <v>0</v>
      </c>
      <c r="G121" s="436">
        <f>I37/1000</f>
        <v>0</v>
      </c>
      <c r="H121" s="436">
        <f>I83/1000</f>
        <v>0</v>
      </c>
      <c r="I121" s="451">
        <f>J121+K121</f>
        <v>0</v>
      </c>
      <c r="J121" s="442">
        <f>K37/1000</f>
        <v>0</v>
      </c>
      <c r="K121" s="442">
        <f>K83/1000</f>
        <v>0</v>
      </c>
    </row>
    <row r="122" spans="1:13" ht="14.1" customHeight="1" x14ac:dyDescent="0.25">
      <c r="A122" s="449" t="s">
        <v>91</v>
      </c>
      <c r="B122" s="821" t="s">
        <v>337</v>
      </c>
      <c r="C122" s="822"/>
      <c r="D122" s="823"/>
      <c r="E122" s="124" t="s">
        <v>6</v>
      </c>
      <c r="F122" s="450">
        <f>G122+H122</f>
        <v>0</v>
      </c>
      <c r="G122" s="436">
        <f>(J99+K99)/1000</f>
        <v>0</v>
      </c>
      <c r="H122" s="436">
        <f>(J114+K114)/1000</f>
        <v>0</v>
      </c>
      <c r="I122" s="451">
        <f>J122+K122</f>
        <v>0</v>
      </c>
      <c r="J122" s="442">
        <f>(L99+M99-K99)/1000</f>
        <v>0</v>
      </c>
      <c r="K122" s="442">
        <f>(M114+L114-K114)/1000</f>
        <v>0</v>
      </c>
    </row>
    <row r="123" spans="1:13" ht="14.1" customHeight="1" x14ac:dyDescent="0.25">
      <c r="A123" s="435" t="s">
        <v>97</v>
      </c>
      <c r="B123" s="821" t="s">
        <v>321</v>
      </c>
      <c r="C123" s="822"/>
      <c r="D123" s="823"/>
      <c r="E123" s="124" t="s">
        <v>6</v>
      </c>
      <c r="F123" s="452">
        <f>G123+H123</f>
        <v>0</v>
      </c>
      <c r="G123" s="437"/>
      <c r="H123" s="437"/>
      <c r="I123" s="452">
        <f>J123+K123</f>
        <v>0</v>
      </c>
      <c r="J123" s="437"/>
      <c r="K123" s="437"/>
    </row>
    <row r="124" spans="1:13" s="111" customFormat="1" ht="14.1" customHeight="1" x14ac:dyDescent="0.25">
      <c r="A124" s="438" t="s">
        <v>115</v>
      </c>
      <c r="B124" s="824" t="s">
        <v>426</v>
      </c>
      <c r="C124" s="825"/>
      <c r="D124" s="826"/>
      <c r="E124" s="125" t="s">
        <v>6</v>
      </c>
      <c r="F124" s="450">
        <f>G124+H124</f>
        <v>0</v>
      </c>
      <c r="G124" s="439">
        <f>(J37+J99)/1000</f>
        <v>0</v>
      </c>
      <c r="H124" s="439">
        <f>(J83+J114)/1000</f>
        <v>0</v>
      </c>
      <c r="I124" s="453">
        <f>J124+K124</f>
        <v>0</v>
      </c>
      <c r="J124" s="443">
        <f>(L37+L99)/1000</f>
        <v>0</v>
      </c>
      <c r="K124" s="443">
        <f>(L83+L114)/1000</f>
        <v>0</v>
      </c>
    </row>
    <row r="125" spans="1:13" s="296" customFormat="1" ht="14.1" customHeight="1" x14ac:dyDescent="0.25">
      <c r="A125" s="440" t="s">
        <v>125</v>
      </c>
      <c r="B125" s="751" t="s">
        <v>632</v>
      </c>
      <c r="C125" s="752"/>
      <c r="D125" s="753"/>
      <c r="E125" s="372" t="s">
        <v>2</v>
      </c>
      <c r="F125" s="441"/>
      <c r="G125" s="441"/>
      <c r="H125" s="441"/>
      <c r="I125" s="444"/>
      <c r="J125" s="444"/>
      <c r="K125" s="444"/>
    </row>
    <row r="126" spans="1:13" ht="14.1" customHeight="1" x14ac:dyDescent="0.25">
      <c r="A126" s="454" t="s">
        <v>164</v>
      </c>
      <c r="B126" s="748" t="s">
        <v>324</v>
      </c>
      <c r="C126" s="749"/>
      <c r="D126" s="750"/>
      <c r="E126" s="455" t="s">
        <v>6</v>
      </c>
      <c r="F126" s="450">
        <f>G126+H126</f>
        <v>0</v>
      </c>
      <c r="G126" s="450">
        <f>G121+G122-G123-G124</f>
        <v>0</v>
      </c>
      <c r="H126" s="450">
        <f>H121+H122-H123-H124</f>
        <v>0</v>
      </c>
      <c r="I126" s="451">
        <f>J126+K126</f>
        <v>0</v>
      </c>
      <c r="J126" s="451">
        <f>J121+J122-J123-J124</f>
        <v>0</v>
      </c>
      <c r="K126" s="451">
        <f>K121+K122-K123-K124</f>
        <v>0</v>
      </c>
    </row>
    <row r="127" spans="1:13" ht="12.75" customHeight="1" x14ac:dyDescent="0.25">
      <c r="A127" s="435" t="s">
        <v>217</v>
      </c>
      <c r="B127" s="801" t="s">
        <v>338</v>
      </c>
      <c r="C127" s="801"/>
      <c r="D127" s="801"/>
      <c r="E127" s="124" t="s">
        <v>6</v>
      </c>
      <c r="F127" s="450">
        <f t="shared" ref="F127:K127" si="28">F126</f>
        <v>0</v>
      </c>
      <c r="G127" s="450">
        <f t="shared" si="28"/>
        <v>0</v>
      </c>
      <c r="H127" s="450">
        <f t="shared" si="28"/>
        <v>0</v>
      </c>
      <c r="I127" s="451">
        <f t="shared" si="28"/>
        <v>0</v>
      </c>
      <c r="J127" s="451">
        <f t="shared" si="28"/>
        <v>0</v>
      </c>
      <c r="K127" s="451">
        <f t="shared" si="28"/>
        <v>0</v>
      </c>
    </row>
    <row r="128" spans="1:13" ht="12.75" customHeight="1" x14ac:dyDescent="0.25">
      <c r="A128" s="449" t="s">
        <v>218</v>
      </c>
      <c r="B128" s="798" t="s">
        <v>754</v>
      </c>
      <c r="C128" s="799"/>
      <c r="D128" s="800"/>
      <c r="E128" s="124" t="s">
        <v>2</v>
      </c>
      <c r="F128" s="480">
        <f>IF(F127=0,0,F129/F127*100)</f>
        <v>0</v>
      </c>
      <c r="G128" s="478">
        <f>'J. Põhjendatud tulukus'!D17</f>
        <v>6.57</v>
      </c>
      <c r="H128" s="479">
        <f>'J. Põhjendatud tulukus'!D18</f>
        <v>5.55</v>
      </c>
      <c r="I128" s="478">
        <f>IF(I127=0,0,I129/I127*100)</f>
        <v>0</v>
      </c>
      <c r="J128" s="478">
        <f>G128</f>
        <v>6.57</v>
      </c>
      <c r="K128" s="478">
        <f>H128</f>
        <v>5.55</v>
      </c>
    </row>
    <row r="129" spans="1:11" s="111" customFormat="1" ht="12.75" customHeight="1" x14ac:dyDescent="0.25">
      <c r="A129" s="438" t="s">
        <v>242</v>
      </c>
      <c r="B129" s="797" t="s">
        <v>753</v>
      </c>
      <c r="C129" s="797"/>
      <c r="D129" s="797"/>
      <c r="E129" s="148" t="s">
        <v>6</v>
      </c>
      <c r="F129" s="443">
        <f>G129+H129</f>
        <v>0</v>
      </c>
      <c r="G129" s="443">
        <f>G127*G128%</f>
        <v>0</v>
      </c>
      <c r="H129" s="443">
        <f>H127*H128%</f>
        <v>0</v>
      </c>
      <c r="I129" s="443">
        <f>J129+K129</f>
        <v>0</v>
      </c>
      <c r="J129" s="443">
        <f>J127*J128%</f>
        <v>0</v>
      </c>
      <c r="K129" s="443">
        <f>K127*K128%</f>
        <v>0</v>
      </c>
    </row>
    <row r="130" spans="1:11" s="111" customFormat="1" ht="12.75" customHeight="1" x14ac:dyDescent="0.25">
      <c r="A130" s="438" t="s">
        <v>243</v>
      </c>
      <c r="B130" s="797" t="s">
        <v>664</v>
      </c>
      <c r="C130" s="797"/>
      <c r="D130" s="797"/>
      <c r="E130" s="148" t="s">
        <v>6</v>
      </c>
      <c r="F130" s="477">
        <f t="shared" ref="F130:K130" si="29">F124+F129</f>
        <v>0</v>
      </c>
      <c r="G130" s="443">
        <f t="shared" si="29"/>
        <v>0</v>
      </c>
      <c r="H130" s="443">
        <f t="shared" si="29"/>
        <v>0</v>
      </c>
      <c r="I130" s="477">
        <f t="shared" si="29"/>
        <v>0</v>
      </c>
      <c r="J130" s="443">
        <f t="shared" si="29"/>
        <v>0</v>
      </c>
      <c r="K130" s="443">
        <f t="shared" si="29"/>
        <v>0</v>
      </c>
    </row>
    <row r="131" spans="1:11" s="111" customFormat="1" ht="12.75" customHeight="1" x14ac:dyDescent="0.25">
      <c r="A131" s="473"/>
      <c r="B131" s="474"/>
      <c r="C131" s="474"/>
      <c r="D131" s="474"/>
      <c r="E131" s="475"/>
      <c r="F131" s="476"/>
      <c r="G131" s="476"/>
    </row>
    <row r="132" spans="1:11" x14ac:dyDescent="0.25">
      <c r="B132" t="s">
        <v>39</v>
      </c>
      <c r="C132" s="5"/>
    </row>
    <row r="133" spans="1:11" x14ac:dyDescent="0.25">
      <c r="B133" t="str">
        <f>'J. Põhjendatud tulukus'!A21</f>
        <v>Alates 01.07.2025 on kaugküttesektoris WACC soojuse tootjatele 6,57% ja võrguettevõtjatele 5,55%.</v>
      </c>
    </row>
    <row r="134" spans="1:11" x14ac:dyDescent="0.25">
      <c r="B134" s="116" t="str">
        <f>'J. Põhjendatud tulukus'!A22</f>
        <v>link Juhend kaalutud keskmise kapitali hinna (WACC) arvutamiseks</v>
      </c>
    </row>
    <row r="136" spans="1:11" x14ac:dyDescent="0.25">
      <c r="A136" s="204" t="s">
        <v>557</v>
      </c>
    </row>
  </sheetData>
  <mergeCells count="61">
    <mergeCell ref="F119:H119"/>
    <mergeCell ref="I119:K119"/>
    <mergeCell ref="B126:D126"/>
    <mergeCell ref="B121:D121"/>
    <mergeCell ref="B122:D122"/>
    <mergeCell ref="B123:D123"/>
    <mergeCell ref="B124:D124"/>
    <mergeCell ref="B125:D125"/>
    <mergeCell ref="A1:M1"/>
    <mergeCell ref="A85:M85"/>
    <mergeCell ref="B86:M86"/>
    <mergeCell ref="H87:I97"/>
    <mergeCell ref="C97:C99"/>
    <mergeCell ref="D98:I98"/>
    <mergeCell ref="E99:I99"/>
    <mergeCell ref="C35:C37"/>
    <mergeCell ref="D36:G36"/>
    <mergeCell ref="E37:G37"/>
    <mergeCell ref="D82:G82"/>
    <mergeCell ref="E83:G83"/>
    <mergeCell ref="E84:G84"/>
    <mergeCell ref="L5:M5"/>
    <mergeCell ref="L8:L12"/>
    <mergeCell ref="F3:F5"/>
    <mergeCell ref="A13:M13"/>
    <mergeCell ref="D113:I113"/>
    <mergeCell ref="L4:M4"/>
    <mergeCell ref="I3:I4"/>
    <mergeCell ref="H3:H4"/>
    <mergeCell ref="C81:C83"/>
    <mergeCell ref="A100:M100"/>
    <mergeCell ref="B101:M101"/>
    <mergeCell ref="J4:K4"/>
    <mergeCell ref="H5:I5"/>
    <mergeCell ref="E3:E5"/>
    <mergeCell ref="B7:M7"/>
    <mergeCell ref="B14:M14"/>
    <mergeCell ref="A3:A6"/>
    <mergeCell ref="B3:B6"/>
    <mergeCell ref="D3:D5"/>
    <mergeCell ref="J8:J12"/>
    <mergeCell ref="G3:G5"/>
    <mergeCell ref="J5:K5"/>
    <mergeCell ref="C3:C5"/>
    <mergeCell ref="G8:H12"/>
    <mergeCell ref="A38:M38"/>
    <mergeCell ref="B39:M39"/>
    <mergeCell ref="B130:D130"/>
    <mergeCell ref="B129:D129"/>
    <mergeCell ref="B128:D128"/>
    <mergeCell ref="B127:D127"/>
    <mergeCell ref="H102:I112"/>
    <mergeCell ref="C112:C114"/>
    <mergeCell ref="A118:G118"/>
    <mergeCell ref="E114:I114"/>
    <mergeCell ref="C115:C116"/>
    <mergeCell ref="E115:I116"/>
    <mergeCell ref="B60:M60"/>
    <mergeCell ref="A119:A120"/>
    <mergeCell ref="B119:D120"/>
    <mergeCell ref="E119:E120"/>
  </mergeCells>
  <pageMargins left="0.70866141732283472" right="0.70866141732283472" top="0" bottom="0" header="0.31496062992125984" footer="0.31496062992125984"/>
  <pageSetup paperSize="9" scale="46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5c408-e6ec-4eb5-98e0-5ebea828c244" xsi:nil="true"/>
    <lcf76f155ced4ddcb4097134ff3c332f xmlns="1345c74a-1281-423b-a9e9-aae9777db840">
      <Terms xmlns="http://schemas.microsoft.com/office/infopath/2007/PartnerControls"/>
    </lcf76f155ced4ddcb4097134ff3c332f>
    <S_x00fc_ndmuset_x00fc__x00fc_p xmlns="1345c74a-1281-423b-a9e9-aae9777db840" xsi:nil="true"/>
    <S_x00fc_ndmusekuup_x00e4_ev xmlns="1345c74a-1281-423b-a9e9-aae9777db8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49D668F19BD48B87BD7D5F4979FA7" ma:contentTypeVersion="17" ma:contentTypeDescription="Loo uus dokument" ma:contentTypeScope="" ma:versionID="48c23a9cc0c49a668e615eebfa4a5a25">
  <xsd:schema xmlns:xsd="http://www.w3.org/2001/XMLSchema" xmlns:xs="http://www.w3.org/2001/XMLSchema" xmlns:p="http://schemas.microsoft.com/office/2006/metadata/properties" xmlns:ns2="1345c74a-1281-423b-a9e9-aae9777db840" xmlns:ns3="3295c408-e6ec-4eb5-98e0-5ebea828c244" targetNamespace="http://schemas.microsoft.com/office/2006/metadata/properties" ma:root="true" ma:fieldsID="3bb985e12e35d01d7daa3e2bb81ac7dd" ns2:_="" ns3:_="">
    <xsd:import namespace="1345c74a-1281-423b-a9e9-aae9777db840"/>
    <xsd:import namespace="3295c408-e6ec-4eb5-98e0-5ebea828c2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S_x00fc_ndmuset_x00fc__x00fc_p" minOccurs="0"/>
                <xsd:element ref="ns2:S_x00fc_ndmusekuup_x00e4_e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5c74a-1281-423b-a9e9-aae9777db8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S_x00fc_ndmuset_x00fc__x00fc_p" ma:index="22" nillable="true" ma:displayName="Sündmuse tüüp" ma:format="Dropdown" ma:internalName="S_x00fc_ndmuset_x00fc__x00fc_p">
      <xsd:simpleType>
        <xsd:restriction base="dms:Choice">
          <xsd:enumeration value="Peatumine algab"/>
          <xsd:enumeration value="Peatumine lõppeb"/>
        </xsd:restriction>
      </xsd:simpleType>
    </xsd:element>
    <xsd:element name="S_x00fc_ndmusekuup_x00e4_ev" ma:index="23" nillable="true" ma:displayName="Sündmuse kuupäev" ma:format="DateOnly" ma:internalName="S_x00fc_ndmusekuup_x00e4_e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5c408-e6ec-4eb5-98e0-5ebea828c24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c5eb272-0539-425a-bc3b-c3908767166b}" ma:internalName="TaxCatchAll" ma:showField="CatchAllData" ma:web="3295c408-e6ec-4eb5-98e0-5ebea828c2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22B1A-E1EF-46BD-8E26-5BDDEE3B79F2}">
  <ds:schemaRefs>
    <ds:schemaRef ds:uri="http://schemas.microsoft.com/office/2006/documentManagement/types"/>
    <ds:schemaRef ds:uri="http://purl.org/dc/elements/1.1/"/>
    <ds:schemaRef ds:uri="1345c74a-1281-423b-a9e9-aae9777db840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295c408-e6ec-4eb5-98e0-5ebea828c24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3C230E-0339-4A13-B836-D10FC57AF2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62160-C8F3-4603-B684-8AA979BA8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5c74a-1281-423b-a9e9-aae9777db840"/>
    <ds:schemaRef ds:uri="3295c408-e6ec-4eb5-98e0-5ebea828c2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11</vt:i4>
      </vt:variant>
      <vt:variant>
        <vt:lpstr>Nimega vahemikud</vt:lpstr>
      </vt:variant>
      <vt:variant>
        <vt:i4>3</vt:i4>
      </vt:variant>
    </vt:vector>
  </HeadingPairs>
  <TitlesOfParts>
    <vt:vector size="14" baseType="lpstr">
      <vt:lpstr>A. Üldandmed</vt:lpstr>
      <vt:lpstr>B. Algandmed</vt:lpstr>
      <vt:lpstr>C. Abitabel elekter</vt:lpstr>
      <vt:lpstr>D. Abitabel keskkonnatasud</vt:lpstr>
      <vt:lpstr>E. Muutuvkulud</vt:lpstr>
      <vt:lpstr>F. Tegevuskulud</vt:lpstr>
      <vt:lpstr>G. Põhivarad ja kapitalikulu</vt:lpstr>
      <vt:lpstr>H.Põhivarade järjepidev arvest.</vt:lpstr>
      <vt:lpstr>I. Renditud põhivarad</vt:lpstr>
      <vt:lpstr>J. Põhjendatud tulukus</vt:lpstr>
      <vt:lpstr>K. Taotlus</vt:lpstr>
      <vt:lpstr>'F. Tegevuskulud'!_ftn1</vt:lpstr>
      <vt:lpstr>'F. Tegevuskulud'!_ftnref1</vt:lpstr>
      <vt:lpstr>'A. Üldandmed'!Prindiala</vt:lpstr>
    </vt:vector>
  </TitlesOfParts>
  <Company>Majandus- ja Kommunikatsiooniministeerium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Info@konkurentsiamet.ee</dc:creator>
  <cp:lastModifiedBy>Chelly Siniväli - KA</cp:lastModifiedBy>
  <cp:lastPrinted>2014-04-21T08:21:46Z</cp:lastPrinted>
  <dcterms:created xsi:type="dcterms:W3CDTF">2011-01-31T06:37:36Z</dcterms:created>
  <dcterms:modified xsi:type="dcterms:W3CDTF">2026-09-04T14:20:52Z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0x0101007F749D668F19BD48B87BD7D5F4979FA7</vt:lpwstr>
  </property>
  <property fmtid="{D5CDD505-2E9C-101B-9397-08002B2CF9AE}" pid="3" name="Order">
    <vt:r8>1941600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2025-07-01T06:56:45Z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4299e82a-4df2-4762-b1a3-1a7de9d4345e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MediaServiceImageTags">
    <vt:lpwstr/>
  </property>
</Properties>
</file>